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5315" windowHeight="7995"/>
  </bookViews>
  <sheets>
    <sheet name="Equivalencias de Tasas" sheetId="1" r:id="rId1"/>
    <sheet name="Descuento Comercial y Racional" sheetId="3" r:id="rId2"/>
  </sheets>
  <calcPr calcId="125725"/>
</workbook>
</file>

<file path=xl/calcChain.xml><?xml version="1.0" encoding="utf-8"?>
<calcChain xmlns="http://schemas.openxmlformats.org/spreadsheetml/2006/main">
  <c r="F40" i="1"/>
  <c r="F39"/>
  <c r="F38"/>
  <c r="F37"/>
  <c r="C90"/>
  <c r="C89"/>
  <c r="H77"/>
  <c r="C94"/>
  <c r="C19" i="3"/>
  <c r="C18"/>
  <c r="C17"/>
  <c r="C15"/>
  <c r="C16" s="1"/>
  <c r="C72"/>
  <c r="C71"/>
  <c r="C73" s="1"/>
  <c r="C68"/>
  <c r="C44"/>
  <c r="C43"/>
  <c r="C48"/>
  <c r="C47"/>
  <c r="C46"/>
  <c r="C42"/>
  <c r="N43"/>
  <c r="N49"/>
  <c r="H41" s="1"/>
  <c r="C45" s="1"/>
  <c r="N47"/>
  <c r="N48" s="1"/>
  <c r="C64"/>
  <c r="C63"/>
  <c r="C60" s="1"/>
  <c r="C61" s="1"/>
  <c r="C62"/>
  <c r="C59"/>
  <c r="C39"/>
  <c r="C37"/>
  <c r="C35"/>
  <c r="C32"/>
  <c r="C28"/>
  <c r="D138" i="1"/>
  <c r="C141"/>
  <c r="G133"/>
  <c r="D139" s="1"/>
  <c r="G134"/>
  <c r="D140" s="1"/>
  <c r="G132"/>
  <c r="D132"/>
  <c r="D133" s="1"/>
  <c r="D134" s="1"/>
  <c r="D131"/>
  <c r="F121"/>
  <c r="F122"/>
  <c r="C122"/>
  <c r="C123" s="1"/>
  <c r="F107"/>
  <c r="F108" s="1"/>
  <c r="C112"/>
  <c r="C110"/>
  <c r="C111" s="1"/>
  <c r="C106"/>
  <c r="D141" l="1"/>
  <c r="E140"/>
  <c r="E141" s="1"/>
  <c r="C69" i="3"/>
  <c r="C70" s="1"/>
  <c r="D69" s="1"/>
  <c r="D60"/>
  <c r="C36"/>
  <c r="C38" s="1"/>
  <c r="C30"/>
  <c r="C29"/>
  <c r="F124" i="1"/>
  <c r="C126"/>
  <c r="C125"/>
  <c r="F111"/>
  <c r="F110"/>
  <c r="C95"/>
  <c r="H78"/>
  <c r="C76"/>
  <c r="D72" s="1"/>
  <c r="D74" l="1"/>
  <c r="E74" s="1"/>
  <c r="D73"/>
  <c r="E73" s="1"/>
  <c r="E72"/>
  <c r="E76" l="1"/>
  <c r="F34"/>
  <c r="C63" l="1"/>
  <c r="C66" s="1"/>
  <c r="C62"/>
  <c r="C54"/>
  <c r="F59" l="1"/>
  <c r="F60" s="1"/>
  <c r="E59"/>
  <c r="E60" s="1"/>
  <c r="D59"/>
  <c r="D60" s="1"/>
  <c r="H59"/>
  <c r="H60" s="1"/>
  <c r="G59"/>
  <c r="G60" s="1"/>
  <c r="C61" l="1"/>
  <c r="I34" l="1"/>
  <c r="C40" l="1"/>
  <c r="C38" l="1"/>
  <c r="C39" s="1"/>
  <c r="C34"/>
  <c r="C12" l="1"/>
  <c r="C11" s="1"/>
  <c r="E11" l="1"/>
  <c r="E12" s="1"/>
  <c r="C14"/>
  <c r="D11"/>
  <c r="D12" s="1"/>
  <c r="H11"/>
  <c r="H12" s="1"/>
  <c r="F11"/>
  <c r="F12" s="1"/>
  <c r="I11"/>
  <c r="I12" s="1"/>
  <c r="G11"/>
  <c r="G12" s="1"/>
  <c r="G14" l="1"/>
  <c r="G13" s="1"/>
  <c r="C23"/>
  <c r="C13"/>
  <c r="H14"/>
  <c r="H13" s="1"/>
  <c r="F14"/>
  <c r="F13" s="1"/>
  <c r="D23"/>
  <c r="F23"/>
  <c r="D27" s="1"/>
  <c r="D28" s="1"/>
  <c r="H23"/>
  <c r="E23"/>
  <c r="G23"/>
  <c r="I23"/>
  <c r="D14"/>
  <c r="D13" s="1"/>
  <c r="E14"/>
  <c r="E13" s="1"/>
  <c r="I14"/>
  <c r="I13" s="1"/>
  <c r="G72"/>
  <c r="G73" s="1"/>
  <c r="H73" s="1"/>
  <c r="G74" l="1"/>
  <c r="H74" s="1"/>
  <c r="H72"/>
  <c r="H76" l="1"/>
  <c r="C24" i="3"/>
  <c r="C25"/>
  <c r="C21"/>
  <c r="C23" l="1"/>
  <c r="C22"/>
</calcChain>
</file>

<file path=xl/comments1.xml><?xml version="1.0" encoding="utf-8"?>
<comments xmlns="http://schemas.openxmlformats.org/spreadsheetml/2006/main">
  <authors>
    <author>Guillermo Gonzalez</author>
    <author>pc</author>
  </authors>
  <commentList>
    <comment ref="C37" authorId="0">
      <text>
        <r>
          <rPr>
            <b/>
            <sz val="9"/>
            <color indexed="81"/>
            <rFont val="Tahoma"/>
            <family val="2"/>
          </rPr>
          <t>0 u omitido: 30/360
1: Real/Real
2: Real/360
3: Real/365
Europea 30/360</t>
        </r>
      </text>
    </comment>
    <comment ref="C51" authorId="1">
      <text>
        <r>
          <rPr>
            <b/>
            <sz val="9"/>
            <color indexed="81"/>
            <rFont val="Tahoma"/>
            <family val="2"/>
          </rPr>
          <t>Por ejemplo</t>
        </r>
      </text>
    </comment>
    <comment ref="C62" authorId="1">
      <text>
        <r>
          <rPr>
            <b/>
            <sz val="9"/>
            <color indexed="81"/>
            <rFont val="Tahoma"/>
            <family val="2"/>
          </rPr>
          <t>La inversión inicial (año 0) ya está en valor actual</t>
        </r>
      </text>
    </comment>
    <comment ref="C109" authorId="0">
      <text>
        <r>
          <rPr>
            <b/>
            <sz val="9"/>
            <color indexed="81"/>
            <rFont val="Tahoma"/>
            <family val="2"/>
          </rPr>
          <t>0 u omitido: 30/360
1: Real/Real
2: Real/360
3: Real/365
Europea 30/360</t>
        </r>
      </text>
    </comment>
  </commentList>
</comments>
</file>

<file path=xl/comments2.xml><?xml version="1.0" encoding="utf-8"?>
<comments xmlns="http://schemas.openxmlformats.org/spreadsheetml/2006/main">
  <authors>
    <author>Guillermo Gonzalez</author>
  </authors>
  <commentList>
    <comment ref="N46" authorId="0">
      <text>
        <r>
          <rPr>
            <b/>
            <sz val="9"/>
            <color indexed="81"/>
            <rFont val="Tahoma"/>
            <family val="2"/>
          </rPr>
          <t>0 u omitido: 30/360
1: Real/Real
2: Real/360
3: Real/365
Europea 30/360</t>
        </r>
      </text>
    </comment>
  </commentList>
</comments>
</file>

<file path=xl/sharedStrings.xml><?xml version="1.0" encoding="utf-8"?>
<sst xmlns="http://schemas.openxmlformats.org/spreadsheetml/2006/main" count="231" uniqueCount="124">
  <si>
    <t>Anual</t>
  </si>
  <si>
    <t>Bimestral</t>
  </si>
  <si>
    <t>Cuatrimestral</t>
  </si>
  <si>
    <t>Trimestral</t>
  </si>
  <si>
    <t>Mensual</t>
  </si>
  <si>
    <t>Diario</t>
  </si>
  <si>
    <t>Nº Capitalizaciones</t>
  </si>
  <si>
    <t>d= tasa de descuento</t>
  </si>
  <si>
    <t>f= tasa nominal adelantada</t>
  </si>
  <si>
    <t>i= tasa efectiva</t>
  </si>
  <si>
    <t>j= tasa nominal vencida</t>
  </si>
  <si>
    <t>Ejemplo</t>
  </si>
  <si>
    <t>Tasa nominal adelantada anual (f)</t>
  </si>
  <si>
    <t>f= tasa nominal vencida</t>
  </si>
  <si>
    <t>Equivalencias de tasas</t>
  </si>
  <si>
    <t>con fórmulas del Excel</t>
  </si>
  <si>
    <t>Ejemplo tasa nominal vencida</t>
  </si>
  <si>
    <t>Ejemplo tasa efectiva anual</t>
  </si>
  <si>
    <t>EQUIVALENCIAS DE TASAS</t>
  </si>
  <si>
    <t>www.SinElefantesBlancos.com.ar</t>
  </si>
  <si>
    <t>Fecha de Liquidación</t>
  </si>
  <si>
    <t>Fecha de vencimiento</t>
  </si>
  <si>
    <t>Días</t>
  </si>
  <si>
    <t>Precio</t>
  </si>
  <si>
    <t>Valor amort.</t>
  </si>
  <si>
    <t>Base</t>
  </si>
  <si>
    <t>Fórmula Tasa Descuento Anual</t>
  </si>
  <si>
    <t>Fórmula Tasa Descuento En Días</t>
  </si>
  <si>
    <t>Tasa Nominal Anual</t>
  </si>
  <si>
    <t>Dc = Cn.d.n</t>
  </si>
  <si>
    <t>Dr = Cn.n.i / (1+n.i)</t>
  </si>
  <si>
    <t>Tasa REAL</t>
  </si>
  <si>
    <t>Tasa nominal de interés</t>
  </si>
  <si>
    <t>Costo Financiero Total (o Tasa Anual Equivalente)</t>
  </si>
  <si>
    <t>Se define como la equivalencia entre la suma de intereses y gastos a cargo del cliente y una tasa de interés efectiva anual pagadera al vencimiento.</t>
  </si>
  <si>
    <t>Tasa de Descuento</t>
  </si>
  <si>
    <t>Tasa de Interés</t>
  </si>
  <si>
    <t>Se puede calcular con la TIR</t>
  </si>
  <si>
    <t>TNA</t>
  </si>
  <si>
    <t>TEA</t>
  </si>
  <si>
    <t>Capital Inicial (C0)</t>
  </si>
  <si>
    <t>Capital Final (Cn)</t>
  </si>
  <si>
    <t>VAN Y TIR</t>
  </si>
  <si>
    <t>TASA DE CORTE</t>
  </si>
  <si>
    <t>i</t>
  </si>
  <si>
    <t>v = (1/(1+i))</t>
  </si>
  <si>
    <t>Año</t>
  </si>
  <si>
    <t>Dividendos</t>
  </si>
  <si>
    <t>Factor de descuento</t>
  </si>
  <si>
    <t>Valor Actual de los Dividendos</t>
  </si>
  <si>
    <t>VAN (calculado sin fórmula de excel)</t>
  </si>
  <si>
    <t>VAN</t>
  </si>
  <si>
    <t>TIR</t>
  </si>
  <si>
    <t>El TIR es la tasa que hace el VAN cero =</t>
  </si>
  <si>
    <t>Ejemplo TIR exigida para un Bono</t>
  </si>
  <si>
    <t>Flujo de Fondos</t>
  </si>
  <si>
    <t>Factor descuento</t>
  </si>
  <si>
    <t>Flujo x Factor Desc.</t>
  </si>
  <si>
    <t>TIR Exigida</t>
  </si>
  <si>
    <t>SUMA</t>
  </si>
  <si>
    <t>FECHA</t>
  </si>
  <si>
    <t>Usando la tasa de la TIR NO PERIÓDICO ANUAL tiene que dar CERO</t>
  </si>
  <si>
    <t>SUMA (100 + VAN NO PERIÓDICO)</t>
  </si>
  <si>
    <t>INTERÉS SPOT Y FORWARD</t>
  </si>
  <si>
    <t>La tasa spot o contado es la obtenible en una inversión efectuada hoy y que finaliza al cabo de n años, sin pagos intermedios.</t>
  </si>
  <si>
    <t>Precio VN</t>
  </si>
  <si>
    <t>Valor Amort.</t>
  </si>
  <si>
    <t>Tasa de Interés efectiva</t>
  </si>
  <si>
    <t>Tasa de Descuento en x Días</t>
  </si>
  <si>
    <t>Plazo (Días)</t>
  </si>
  <si>
    <t>INTERÉS SPOT</t>
  </si>
  <si>
    <t>INTERÉS FORWARD</t>
  </si>
  <si>
    <t>Una tasa futura o forward representa a cuánto descuenta cada año el mercado un pago que se producirá en el año siguiente</t>
  </si>
  <si>
    <t>Si tasa SPOT para el 1er año es:</t>
  </si>
  <si>
    <t>La tasa FORWARD para el 2do año es:</t>
  </si>
  <si>
    <t>Ej Bono</t>
  </si>
  <si>
    <t>Tasa FORWARD</t>
  </si>
  <si>
    <t>Tasa Geométrica de Rentabilidad</t>
  </si>
  <si>
    <t>TGR</t>
  </si>
  <si>
    <t>TRE</t>
  </si>
  <si>
    <t>VALOR EX-CUPON</t>
  </si>
  <si>
    <t>AÑO</t>
  </si>
  <si>
    <t>CUPON</t>
  </si>
  <si>
    <t>VALOR CON CUPON</t>
  </si>
  <si>
    <t>Cn</t>
  </si>
  <si>
    <t>Co</t>
  </si>
  <si>
    <t>n</t>
  </si>
  <si>
    <t>Si n &lt; 12 meses</t>
  </si>
  <si>
    <t>Si n &gt; 12 meses</t>
  </si>
  <si>
    <t>Co = Cn / (( 1 + i ) ^ n)</t>
  </si>
  <si>
    <t>Descuento Racional: Co = Cn / ( 1 + n . i )</t>
  </si>
  <si>
    <t>Descuento Comercial: Co = Cn ( 1 – n .d ) = Cn – Dc ;</t>
  </si>
  <si>
    <t>d</t>
  </si>
  <si>
    <t>Dc</t>
  </si>
  <si>
    <t xml:space="preserve">en </t>
  </si>
  <si>
    <t>meses</t>
  </si>
  <si>
    <t>Cuál es el valor actual del documento que vale</t>
  </si>
  <si>
    <t>días</t>
  </si>
  <si>
    <t>si la tasa efectiva es</t>
  </si>
  <si>
    <t>si la tasa nominal anual es</t>
  </si>
  <si>
    <t xml:space="preserve">si el descuento es de </t>
  </si>
  <si>
    <t>Ejemplos</t>
  </si>
  <si>
    <t>Descuento Simple</t>
  </si>
  <si>
    <t>Descuento Compuesto</t>
  </si>
  <si>
    <t>Descuento Compuesto: Co = Cn / (( 1 + i ) ^ n)</t>
  </si>
  <si>
    <t>años</t>
  </si>
  <si>
    <t xml:space="preserve">Hacemos una LEBAC con una cantidad de VN de </t>
  </si>
  <si>
    <t>si la tasa adelantada anual es</t>
  </si>
  <si>
    <t>i= d / (1-d)</t>
  </si>
  <si>
    <t>i = d.n/ (1- d.n)</t>
  </si>
  <si>
    <t>CUPÓN (semestral)</t>
  </si>
  <si>
    <r>
      <t>TIR</t>
    </r>
    <r>
      <rPr>
        <sz val="9"/>
        <color theme="1"/>
        <rFont val="Calibri"/>
        <family val="2"/>
        <scheme val="minor"/>
      </rPr>
      <t xml:space="preserve"> (cuando es un bono adquirido entre dos períodos de renta)</t>
    </r>
  </si>
  <si>
    <t>=&gt; Ejemplo de rendimiento deseado</t>
  </si>
  <si>
    <t>SUMA (100 + VAN)</t>
  </si>
  <si>
    <t>TIR (anual)</t>
  </si>
  <si>
    <t>=&gt; Valor que pagaría cada 100 VN</t>
  </si>
  <si>
    <t>Fecha de Constitución</t>
  </si>
  <si>
    <t>i(35)</t>
  </si>
  <si>
    <t>Interés</t>
  </si>
  <si>
    <t>Tasa de inflación (p)</t>
  </si>
  <si>
    <r>
      <rPr>
        <b/>
        <sz val="11"/>
        <color theme="1"/>
        <rFont val="Calibri"/>
        <family val="2"/>
        <scheme val="minor"/>
      </rPr>
      <t>i1</t>
    </r>
    <r>
      <rPr>
        <sz val="11"/>
        <color theme="1"/>
        <rFont val="Calibri"/>
        <family val="2"/>
        <scheme val="minor"/>
      </rPr>
      <t>= tasa efectiva anual</t>
    </r>
  </si>
  <si>
    <r>
      <rPr>
        <b/>
        <sz val="11"/>
        <color theme="1"/>
        <rFont val="Calibri"/>
        <family val="2"/>
        <scheme val="minor"/>
      </rPr>
      <t>j4</t>
    </r>
    <r>
      <rPr>
        <sz val="11"/>
        <color theme="1"/>
        <rFont val="Calibri"/>
        <family val="2"/>
        <scheme val="minor"/>
      </rPr>
      <t>= tasa nominal trimestral vencida</t>
    </r>
  </si>
  <si>
    <t>Lo podemos corroborar en el calculador de LEBAC</t>
  </si>
  <si>
    <t>Explicación de Bonos</t>
  </si>
</sst>
</file>

<file path=xl/styles.xml><?xml version="1.0" encoding="utf-8"?>
<styleSheet xmlns="http://schemas.openxmlformats.org/spreadsheetml/2006/main">
  <numFmts count="12">
    <numFmt numFmtId="164" formatCode="0.0000%"/>
    <numFmt numFmtId="165" formatCode="0.000000%"/>
    <numFmt numFmtId="166" formatCode="dd/mm/yyyy;@"/>
    <numFmt numFmtId="167" formatCode="0.00000"/>
    <numFmt numFmtId="168" formatCode="0.00000%"/>
    <numFmt numFmtId="169" formatCode="&quot;$&quot;\ #,##0.00"/>
    <numFmt numFmtId="170" formatCode="0.000"/>
    <numFmt numFmtId="171" formatCode="[$$-2C0A]\ #,##0.00;[Red][$$-2C0A]\ \-#,##0.00"/>
    <numFmt numFmtId="172" formatCode="0.00000000"/>
    <numFmt numFmtId="173" formatCode="&quot;$&quot;\ #,##0.00000;[Red]&quot;$&quot;\ \-#,##0.00000"/>
    <numFmt numFmtId="174" formatCode="0.0000000%"/>
    <numFmt numFmtId="175" formatCode="&quot;$&quot;\ #,##0.0000"/>
  </numFmts>
  <fonts count="32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5"/>
      <color theme="3"/>
      <name val="Arial"/>
      <family val="2"/>
    </font>
    <font>
      <b/>
      <sz val="20"/>
      <name val="Calibri"/>
      <family val="2"/>
      <scheme val="minor"/>
    </font>
    <font>
      <sz val="26"/>
      <color theme="1" tint="0.499984740745262"/>
      <name val="Arial"/>
      <family val="2"/>
    </font>
    <font>
      <sz val="26"/>
      <color theme="1" tint="0.499984740745262"/>
      <name val="Calibri"/>
      <family val="2"/>
      <scheme val="minor"/>
    </font>
    <font>
      <b/>
      <sz val="9"/>
      <color indexed="81"/>
      <name val="Tahoma"/>
      <family val="2"/>
    </font>
    <font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Verdana"/>
      <family val="2"/>
    </font>
    <font>
      <sz val="10"/>
      <name val="Verdana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rgb="FFFF0000"/>
      <name val="Verdana"/>
      <family val="2"/>
    </font>
    <font>
      <sz val="10"/>
      <color rgb="FFFF0000"/>
      <name val="Verdana"/>
      <family val="2"/>
    </font>
    <font>
      <b/>
      <sz val="16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sz val="26"/>
      <color theme="1" tint="0.499984740745262"/>
      <name val="Cambria"/>
      <family val="1"/>
      <scheme val="major"/>
    </font>
    <font>
      <sz val="10"/>
      <name val="Cambria"/>
      <family val="1"/>
      <scheme val="major"/>
    </font>
    <font>
      <sz val="15"/>
      <color theme="3"/>
      <name val="Cambria"/>
      <family val="1"/>
      <scheme val="major"/>
    </font>
    <font>
      <sz val="22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4"/>
      <name val="Cambria"/>
      <family val="1"/>
      <scheme val="major"/>
    </font>
    <font>
      <b/>
      <sz val="11"/>
      <name val="Cambria"/>
      <family val="1"/>
      <scheme val="major"/>
    </font>
    <font>
      <sz val="15"/>
      <name val="Cambria"/>
      <family val="1"/>
      <scheme val="major"/>
    </font>
    <font>
      <sz val="11"/>
      <name val="Cambria"/>
      <family val="1"/>
      <scheme val="maj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0"/>
      <name val="Arial"/>
      <family val="2"/>
    </font>
    <font>
      <b/>
      <sz val="18"/>
      <color theme="3" tint="-0.249977111117893"/>
      <name val="Cambria"/>
      <family val="1"/>
      <scheme val="major"/>
    </font>
  </fonts>
  <fills count="1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D13F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  <diagonal/>
    </border>
    <border>
      <left/>
      <right/>
      <top style="medium">
        <color rgb="FF00B050"/>
      </top>
      <bottom/>
      <diagonal/>
    </border>
    <border>
      <left/>
      <right style="medium">
        <color rgb="FF00B050"/>
      </right>
      <top style="medium">
        <color rgb="FF00B050"/>
      </top>
      <bottom/>
      <diagonal/>
    </border>
    <border>
      <left/>
      <right/>
      <top/>
      <bottom style="medium">
        <color rgb="FF00B050"/>
      </bottom>
      <diagonal/>
    </border>
    <border>
      <left/>
      <right style="medium">
        <color rgb="FF00B050"/>
      </right>
      <top/>
      <bottom style="medium">
        <color rgb="FF00B050"/>
      </bottom>
      <diagonal/>
    </border>
    <border>
      <left style="medium">
        <color rgb="FF00B050"/>
      </left>
      <right style="medium">
        <color rgb="FF00B050"/>
      </right>
      <top style="medium">
        <color rgb="FF00B050"/>
      </top>
      <bottom/>
      <diagonal/>
    </border>
    <border>
      <left style="medium">
        <color rgb="FF00B050"/>
      </left>
      <right style="medium">
        <color rgb="FF00B050"/>
      </right>
      <top/>
      <bottom style="medium">
        <color rgb="FF00B05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B050"/>
      </left>
      <right/>
      <top/>
      <bottom/>
      <diagonal/>
    </border>
    <border>
      <left/>
      <right style="medium">
        <color rgb="FF00B050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9" fontId="9" fillId="0" borderId="0" applyFont="0" applyFill="0" applyBorder="0" applyAlignment="0" applyProtection="0"/>
  </cellStyleXfs>
  <cellXfs count="22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164" fontId="0" fillId="2" borderId="11" xfId="0" applyNumberForma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1" fillId="0" borderId="0" xfId="0" applyFont="1" applyAlignment="1">
      <alignment horizontal="centerContinuous" vertical="center"/>
    </xf>
    <xf numFmtId="0" fontId="3" fillId="0" borderId="0" xfId="1" applyNumberFormat="1" applyFont="1" applyBorder="1" applyAlignment="1" applyProtection="1">
      <alignment horizontal="centerContinuous" vertical="center"/>
    </xf>
    <xf numFmtId="0" fontId="0" fillId="0" borderId="0" xfId="0" applyBorder="1" applyAlignment="1" applyProtection="1">
      <alignment horizontal="centerContinuous" vertical="center"/>
    </xf>
    <xf numFmtId="0" fontId="0" fillId="0" borderId="0" xfId="0" applyFill="1"/>
    <xf numFmtId="14" fontId="0" fillId="0" borderId="0" xfId="0" applyNumberFormat="1" applyFill="1"/>
    <xf numFmtId="2" fontId="0" fillId="0" borderId="0" xfId="0" applyNumberFormat="1" applyFill="1"/>
    <xf numFmtId="0" fontId="1" fillId="0" borderId="0" xfId="0" applyFont="1" applyAlignment="1">
      <alignment horizontal="center" vertical="center"/>
    </xf>
    <xf numFmtId="164" fontId="0" fillId="6" borderId="0" xfId="0" applyNumberFormat="1" applyFill="1" applyAlignment="1">
      <alignment horizontal="center" vertical="center"/>
    </xf>
    <xf numFmtId="166" fontId="0" fillId="6" borderId="0" xfId="0" applyNumberFormat="1" applyFill="1" applyAlignment="1">
      <alignment horizontal="center" vertical="center"/>
    </xf>
    <xf numFmtId="1" fontId="0" fillId="6" borderId="0" xfId="0" applyNumberFormat="1" applyFill="1" applyAlignment="1">
      <alignment horizontal="center" vertical="center"/>
    </xf>
    <xf numFmtId="167" fontId="0" fillId="6" borderId="0" xfId="0" applyNumberFormat="1" applyFill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168" fontId="0" fillId="7" borderId="14" xfId="0" applyNumberForma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10" fontId="11" fillId="0" borderId="18" xfId="2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 shrinkToFit="1"/>
    </xf>
    <xf numFmtId="0" fontId="12" fillId="0" borderId="0" xfId="0" applyFont="1"/>
    <xf numFmtId="0" fontId="12" fillId="0" borderId="0" xfId="0" applyFont="1" applyBorder="1" applyAlignment="1">
      <alignment horizontal="center" vertical="center"/>
    </xf>
    <xf numFmtId="4" fontId="12" fillId="0" borderId="0" xfId="0" applyNumberFormat="1" applyFont="1" applyFill="1" applyBorder="1" applyAlignment="1">
      <alignment horizontal="center" vertical="center"/>
    </xf>
    <xf numFmtId="10" fontId="12" fillId="0" borderId="1" xfId="2" applyNumberFormat="1" applyFont="1" applyFill="1" applyBorder="1" applyAlignment="1">
      <alignment horizontal="center" vertical="center"/>
    </xf>
    <xf numFmtId="170" fontId="12" fillId="0" borderId="1" xfId="0" applyNumberFormat="1" applyFont="1" applyFill="1" applyBorder="1" applyAlignment="1">
      <alignment horizontal="center" vertical="center"/>
    </xf>
    <xf numFmtId="4" fontId="12" fillId="0" borderId="0" xfId="0" applyNumberFormat="1" applyFont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171" fontId="12" fillId="0" borderId="1" xfId="0" applyNumberFormat="1" applyFont="1" applyFill="1" applyBorder="1" applyAlignment="1" applyProtection="1">
      <alignment horizontal="center" vertical="center"/>
      <protection locked="0"/>
    </xf>
    <xf numFmtId="0" fontId="12" fillId="0" borderId="1" xfId="0" applyFont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1" xfId="0" applyFont="1" applyBorder="1" applyAlignment="1">
      <alignment horizontal="center" vertical="center"/>
    </xf>
    <xf numFmtId="171" fontId="12" fillId="0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/>
    </xf>
    <xf numFmtId="10" fontId="11" fillId="0" borderId="1" xfId="2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vertical="center"/>
    </xf>
    <xf numFmtId="171" fontId="12" fillId="0" borderId="0" xfId="0" applyNumberFormat="1" applyFont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172" fontId="0" fillId="0" borderId="1" xfId="0" applyNumberFormat="1" applyFont="1" applyBorder="1" applyAlignment="1">
      <alignment horizontal="center" vertical="center"/>
    </xf>
    <xf numFmtId="172" fontId="0" fillId="0" borderId="1" xfId="0" applyNumberFormat="1" applyBorder="1" applyAlignment="1">
      <alignment horizontal="center" vertical="center"/>
    </xf>
    <xf numFmtId="0" fontId="10" fillId="9" borderId="1" xfId="0" applyFont="1" applyFill="1" applyBorder="1" applyAlignment="1">
      <alignment horizontal="center" vertical="center"/>
    </xf>
    <xf numFmtId="0" fontId="11" fillId="10" borderId="1" xfId="0" applyFont="1" applyFill="1" applyBorder="1" applyAlignment="1">
      <alignment horizontal="center" vertical="center"/>
    </xf>
    <xf numFmtId="10" fontId="11" fillId="10" borderId="1" xfId="2" applyNumberFormat="1" applyFont="1" applyFill="1" applyBorder="1" applyAlignment="1" applyProtection="1">
      <alignment horizontal="center" vertical="center"/>
      <protection locked="0"/>
    </xf>
    <xf numFmtId="14" fontId="12" fillId="0" borderId="1" xfId="0" applyNumberFormat="1" applyFont="1" applyFill="1" applyBorder="1" applyAlignment="1">
      <alignment horizontal="center" vertical="center"/>
    </xf>
    <xf numFmtId="14" fontId="12" fillId="0" borderId="1" xfId="0" applyNumberFormat="1" applyFont="1" applyBorder="1" applyAlignment="1">
      <alignment horizontal="center" vertical="center"/>
    </xf>
    <xf numFmtId="14" fontId="12" fillId="0" borderId="1" xfId="0" applyNumberFormat="1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4" fontId="16" fillId="0" borderId="1" xfId="0" applyNumberFormat="1" applyFont="1" applyFill="1" applyBorder="1" applyAlignment="1">
      <alignment horizontal="center" vertical="center"/>
    </xf>
    <xf numFmtId="168" fontId="11" fillId="10" borderId="1" xfId="2" applyNumberFormat="1" applyFont="1" applyFill="1" applyBorder="1" applyAlignment="1" applyProtection="1">
      <alignment horizontal="center" vertical="center"/>
      <protection locked="0"/>
    </xf>
    <xf numFmtId="173" fontId="0" fillId="0" borderId="0" xfId="0" applyNumberFormat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10" fillId="9" borderId="1" xfId="0" applyFont="1" applyFill="1" applyBorder="1" applyAlignment="1">
      <alignment horizontal="left" vertical="center"/>
    </xf>
    <xf numFmtId="173" fontId="10" fillId="4" borderId="1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shrinkToFit="1"/>
    </xf>
    <xf numFmtId="174" fontId="0" fillId="0" borderId="0" xfId="0" applyNumberFormat="1" applyAlignment="1">
      <alignment horizontal="center" vertical="center"/>
    </xf>
    <xf numFmtId="0" fontId="17" fillId="4" borderId="18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165" fontId="10" fillId="0" borderId="0" xfId="0" applyNumberFormat="1" applyFont="1" applyAlignment="1">
      <alignment horizontal="center" vertical="center"/>
    </xf>
    <xf numFmtId="0" fontId="10" fillId="11" borderId="12" xfId="0" applyFont="1" applyFill="1" applyBorder="1" applyAlignment="1">
      <alignment horizontal="center" vertical="center"/>
    </xf>
    <xf numFmtId="168" fontId="10" fillId="11" borderId="14" xfId="0" applyNumberFormat="1" applyFont="1" applyFill="1" applyBorder="1" applyAlignment="1">
      <alignment horizontal="center" vertical="center"/>
    </xf>
    <xf numFmtId="10" fontId="0" fillId="6" borderId="0" xfId="0" applyNumberFormat="1" applyFill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13" fillId="12" borderId="18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64" fontId="0" fillId="0" borderId="30" xfId="0" applyNumberFormat="1" applyBorder="1" applyAlignment="1">
      <alignment horizontal="center" vertical="center"/>
    </xf>
    <xf numFmtId="164" fontId="13" fillId="12" borderId="18" xfId="0" applyNumberFormat="1" applyFont="1" applyFill="1" applyBorder="1" applyAlignment="1">
      <alignment horizontal="center" vertical="center"/>
    </xf>
    <xf numFmtId="2" fontId="0" fillId="0" borderId="30" xfId="0" applyNumberFormat="1" applyBorder="1" applyAlignment="1">
      <alignment horizontal="center" vertical="center"/>
    </xf>
    <xf numFmtId="10" fontId="13" fillId="12" borderId="18" xfId="0" applyNumberFormat="1" applyFont="1" applyFill="1" applyBorder="1" applyAlignment="1">
      <alignment horizontal="center" vertical="center"/>
    </xf>
    <xf numFmtId="0" fontId="14" fillId="12" borderId="18" xfId="0" applyFont="1" applyFill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164" fontId="14" fillId="12" borderId="18" xfId="0" applyNumberFormat="1" applyFont="1" applyFill="1" applyBorder="1" applyAlignment="1">
      <alignment horizontal="center" vertical="center"/>
    </xf>
    <xf numFmtId="2" fontId="18" fillId="0" borderId="0" xfId="0" applyNumberFormat="1" applyFont="1" applyFill="1"/>
    <xf numFmtId="0" fontId="18" fillId="0" borderId="0" xfId="0" applyFont="1" applyFill="1"/>
    <xf numFmtId="0" fontId="20" fillId="0" borderId="0" xfId="0" applyFont="1" applyAlignment="1">
      <alignment horizontal="center" vertical="center"/>
    </xf>
    <xf numFmtId="0" fontId="21" fillId="0" borderId="0" xfId="1" applyNumberFormat="1" applyFont="1" applyBorder="1" applyAlignment="1" applyProtection="1">
      <alignment horizontal="centerContinuous" vertical="center"/>
    </xf>
    <xf numFmtId="0" fontId="18" fillId="0" borderId="0" xfId="0" applyFont="1" applyBorder="1" applyAlignment="1" applyProtection="1">
      <alignment horizontal="centerContinuous" vertical="center"/>
    </xf>
    <xf numFmtId="0" fontId="20" fillId="0" borderId="0" xfId="0" applyFont="1" applyAlignment="1">
      <alignment horizontal="centerContinuous" vertical="center"/>
    </xf>
    <xf numFmtId="0" fontId="18" fillId="0" borderId="0" xfId="0" applyFont="1" applyAlignment="1">
      <alignment horizontal="center" vertical="center"/>
    </xf>
    <xf numFmtId="0" fontId="23" fillId="0" borderId="24" xfId="0" applyFont="1" applyBorder="1" applyAlignment="1">
      <alignment horizontal="left" vertical="center"/>
    </xf>
    <xf numFmtId="0" fontId="18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23" fillId="0" borderId="26" xfId="0" applyFont="1" applyBorder="1" applyAlignment="1">
      <alignment horizontal="left" vertical="center"/>
    </xf>
    <xf numFmtId="0" fontId="18" fillId="0" borderId="26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24" fillId="4" borderId="18" xfId="0" applyFont="1" applyFill="1" applyBorder="1" applyAlignment="1">
      <alignment horizontal="center" vertical="center"/>
    </xf>
    <xf numFmtId="169" fontId="25" fillId="13" borderId="23" xfId="0" applyNumberFormat="1" applyFont="1" applyFill="1" applyBorder="1" applyAlignment="1">
      <alignment horizontal="center" vertical="center" shrinkToFit="1"/>
    </xf>
    <xf numFmtId="10" fontId="23" fillId="13" borderId="23" xfId="0" applyNumberFormat="1" applyFont="1" applyFill="1" applyBorder="1" applyAlignment="1">
      <alignment horizontal="center" vertical="center" shrinkToFit="1"/>
    </xf>
    <xf numFmtId="0" fontId="23" fillId="0" borderId="0" xfId="0" applyFont="1" applyAlignment="1">
      <alignment horizontal="center" vertical="center" shrinkToFit="1"/>
    </xf>
    <xf numFmtId="0" fontId="23" fillId="13" borderId="23" xfId="0" applyFont="1" applyFill="1" applyBorder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169" fontId="18" fillId="0" borderId="0" xfId="0" applyNumberFormat="1" applyFont="1" applyAlignment="1">
      <alignment horizontal="center" vertical="center"/>
    </xf>
    <xf numFmtId="10" fontId="18" fillId="0" borderId="0" xfId="0" applyNumberFormat="1" applyFont="1" applyAlignment="1">
      <alignment horizontal="center" vertical="center"/>
    </xf>
    <xf numFmtId="169" fontId="23" fillId="13" borderId="23" xfId="0" applyNumberFormat="1" applyFont="1" applyFill="1" applyBorder="1" applyAlignment="1">
      <alignment horizontal="center" vertical="center"/>
    </xf>
    <xf numFmtId="169" fontId="23" fillId="13" borderId="23" xfId="0" applyNumberFormat="1" applyFont="1" applyFill="1" applyBorder="1" applyAlignment="1">
      <alignment horizontal="center" vertical="center" shrinkToFit="1"/>
    </xf>
    <xf numFmtId="0" fontId="20" fillId="0" borderId="0" xfId="0" applyFont="1" applyAlignment="1">
      <alignment horizontal="left" vertical="center"/>
    </xf>
    <xf numFmtId="0" fontId="26" fillId="0" borderId="0" xfId="1" applyNumberFormat="1" applyFont="1" applyBorder="1" applyAlignment="1" applyProtection="1">
      <alignment horizontal="left" vertical="center"/>
    </xf>
    <xf numFmtId="0" fontId="27" fillId="0" borderId="0" xfId="0" applyFont="1" applyBorder="1" applyAlignment="1" applyProtection="1">
      <alignment horizontal="left" vertical="center"/>
    </xf>
    <xf numFmtId="0" fontId="27" fillId="0" borderId="0" xfId="0" applyFont="1" applyAlignment="1">
      <alignment horizontal="left" vertical="center"/>
    </xf>
    <xf numFmtId="0" fontId="23" fillId="0" borderId="24" xfId="0" applyFont="1" applyBorder="1" applyAlignment="1">
      <alignment vertical="center"/>
    </xf>
    <xf numFmtId="0" fontId="23" fillId="0" borderId="26" xfId="0" applyFont="1" applyBorder="1" applyAlignment="1">
      <alignment vertical="center"/>
    </xf>
    <xf numFmtId="0" fontId="18" fillId="0" borderId="26" xfId="0" applyFont="1" applyBorder="1" applyAlignment="1">
      <alignment vertical="center"/>
    </xf>
    <xf numFmtId="175" fontId="18" fillId="0" borderId="0" xfId="0" applyNumberFormat="1" applyFont="1" applyAlignment="1">
      <alignment horizontal="center" vertical="center"/>
    </xf>
    <xf numFmtId="164" fontId="18" fillId="0" borderId="0" xfId="0" applyNumberFormat="1" applyFont="1" applyAlignment="1">
      <alignment horizontal="center" vertical="center"/>
    </xf>
    <xf numFmtId="0" fontId="23" fillId="0" borderId="0" xfId="0" applyFont="1" applyFill="1" applyAlignment="1">
      <alignment horizontal="left" vertical="center" shrinkToFit="1"/>
    </xf>
    <xf numFmtId="0" fontId="23" fillId="0" borderId="0" xfId="0" applyFont="1" applyFill="1" applyAlignment="1">
      <alignment vertical="center" shrinkToFit="1"/>
    </xf>
    <xf numFmtId="169" fontId="25" fillId="0" borderId="0" xfId="0" applyNumberFormat="1" applyFont="1" applyFill="1" applyBorder="1" applyAlignment="1">
      <alignment horizontal="center" vertical="center" shrinkToFit="1"/>
    </xf>
    <xf numFmtId="0" fontId="23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10" fontId="23" fillId="0" borderId="0" xfId="0" applyNumberFormat="1" applyFont="1" applyFill="1" applyBorder="1" applyAlignment="1">
      <alignment horizontal="center" vertical="center" shrinkToFit="1"/>
    </xf>
    <xf numFmtId="0" fontId="23" fillId="0" borderId="0" xfId="0" applyFont="1" applyFill="1" applyAlignment="1">
      <alignment horizontal="center" vertical="center" shrinkToFit="1"/>
    </xf>
    <xf numFmtId="0" fontId="23" fillId="0" borderId="0" xfId="0" applyFont="1" applyFill="1" applyBorder="1" applyAlignment="1">
      <alignment horizontal="center" vertical="center" shrinkToFit="1"/>
    </xf>
    <xf numFmtId="164" fontId="23" fillId="13" borderId="23" xfId="0" applyNumberFormat="1" applyFont="1" applyFill="1" applyBorder="1" applyAlignment="1">
      <alignment horizontal="center" vertical="center" shrinkToFit="1"/>
    </xf>
    <xf numFmtId="0" fontId="18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28" fillId="0" borderId="0" xfId="0" applyFont="1" applyAlignment="1">
      <alignment horizontal="left" vertical="center"/>
    </xf>
    <xf numFmtId="16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64" fontId="29" fillId="6" borderId="0" xfId="0" applyNumberFormat="1" applyFont="1" applyFill="1" applyAlignment="1">
      <alignment horizontal="center" vertical="center"/>
    </xf>
    <xf numFmtId="166" fontId="29" fillId="6" borderId="0" xfId="0" applyNumberFormat="1" applyFont="1" applyFill="1" applyAlignment="1">
      <alignment horizontal="center" vertical="center"/>
    </xf>
    <xf numFmtId="164" fontId="29" fillId="0" borderId="0" xfId="0" applyNumberFormat="1" applyFont="1" applyAlignment="1">
      <alignment horizontal="center" vertical="center"/>
    </xf>
    <xf numFmtId="164" fontId="29" fillId="6" borderId="0" xfId="0" applyNumberFormat="1" applyFont="1" applyFill="1" applyBorder="1" applyAlignment="1">
      <alignment horizontal="center" vertical="center"/>
    </xf>
    <xf numFmtId="166" fontId="29" fillId="6" borderId="0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vertical="center"/>
    </xf>
    <xf numFmtId="1" fontId="29" fillId="6" borderId="0" xfId="0" applyNumberFormat="1" applyFont="1" applyFill="1" applyAlignment="1">
      <alignment horizontal="center" vertical="center"/>
    </xf>
    <xf numFmtId="1" fontId="29" fillId="6" borderId="0" xfId="0" applyNumberFormat="1" applyFont="1" applyFill="1" applyBorder="1" applyAlignment="1">
      <alignment horizontal="center" vertical="center"/>
    </xf>
    <xf numFmtId="167" fontId="29" fillId="6" borderId="0" xfId="0" applyNumberFormat="1" applyFont="1" applyFill="1" applyAlignment="1">
      <alignment horizontal="center" vertical="center"/>
    </xf>
    <xf numFmtId="0" fontId="29" fillId="6" borderId="0" xfId="0" applyFont="1" applyFill="1" applyBorder="1" applyAlignment="1">
      <alignment vertical="center"/>
    </xf>
    <xf numFmtId="169" fontId="29" fillId="6" borderId="0" xfId="0" applyNumberFormat="1" applyFont="1" applyFill="1" applyBorder="1" applyAlignment="1">
      <alignment horizontal="center" vertical="center"/>
    </xf>
    <xf numFmtId="0" fontId="29" fillId="6" borderId="0" xfId="0" applyFont="1" applyFill="1" applyBorder="1" applyAlignment="1">
      <alignment horizontal="center" vertical="center"/>
    </xf>
    <xf numFmtId="10" fontId="29" fillId="6" borderId="0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10" fontId="29" fillId="0" borderId="0" xfId="0" applyNumberFormat="1" applyFont="1" applyAlignment="1">
      <alignment horizontal="center" vertical="center"/>
    </xf>
    <xf numFmtId="0" fontId="29" fillId="7" borderId="12" xfId="0" applyFont="1" applyFill="1" applyBorder="1" applyAlignment="1">
      <alignment horizontal="center" vertical="center"/>
    </xf>
    <xf numFmtId="168" fontId="29" fillId="7" borderId="14" xfId="0" applyNumberFormat="1" applyFont="1" applyFill="1" applyBorder="1" applyAlignment="1">
      <alignment horizontal="center" vertical="center"/>
    </xf>
    <xf numFmtId="10" fontId="29" fillId="0" borderId="0" xfId="0" applyNumberFormat="1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10" fontId="29" fillId="0" borderId="1" xfId="0" applyNumberFormat="1" applyFont="1" applyBorder="1" applyAlignment="1">
      <alignment horizontal="center" vertical="center"/>
    </xf>
    <xf numFmtId="169" fontId="29" fillId="0" borderId="1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4" borderId="15" xfId="0" applyFont="1" applyFill="1" applyBorder="1" applyAlignment="1" applyProtection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5" fillId="5" borderId="12" xfId="1" applyNumberFormat="1" applyFont="1" applyFill="1" applyBorder="1" applyAlignment="1" applyProtection="1">
      <alignment horizontal="center" vertical="center"/>
    </xf>
    <xf numFmtId="0" fontId="6" fillId="5" borderId="13" xfId="0" applyFont="1" applyFill="1" applyBorder="1" applyAlignment="1" applyProtection="1"/>
    <xf numFmtId="0" fontId="6" fillId="5" borderId="14" xfId="0" applyFont="1" applyFill="1" applyBorder="1" applyAlignment="1" applyProtection="1"/>
    <xf numFmtId="2" fontId="8" fillId="8" borderId="12" xfId="0" applyNumberFormat="1" applyFont="1" applyFill="1" applyBorder="1" applyAlignment="1">
      <alignment horizontal="center" vertical="center"/>
    </xf>
    <xf numFmtId="2" fontId="8" fillId="8" borderId="14" xfId="0" applyNumberFormat="1" applyFont="1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2" fontId="8" fillId="8" borderId="12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2" fontId="8" fillId="8" borderId="14" xfId="0" applyNumberFormat="1" applyFont="1" applyFill="1" applyBorder="1" applyAlignment="1">
      <alignment horizontal="center" vertical="center" wrapText="1"/>
    </xf>
    <xf numFmtId="164" fontId="0" fillId="0" borderId="8" xfId="0" applyNumberFormat="1" applyBorder="1" applyAlignment="1">
      <alignment horizontal="center" vertical="center" wrapText="1"/>
    </xf>
    <xf numFmtId="164" fontId="0" fillId="0" borderId="9" xfId="0" applyNumberFormat="1" applyBorder="1" applyAlignment="1">
      <alignment horizontal="center" vertical="center" wrapText="1"/>
    </xf>
    <xf numFmtId="164" fontId="0" fillId="0" borderId="16" xfId="0" applyNumberFormat="1" applyBorder="1" applyAlignment="1">
      <alignment horizontal="center" vertical="center" wrapText="1"/>
    </xf>
    <xf numFmtId="164" fontId="0" fillId="0" borderId="17" xfId="0" applyNumberFormat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2" fontId="8" fillId="8" borderId="13" xfId="0" applyNumberFormat="1" applyFont="1" applyFill="1" applyBorder="1" applyAlignment="1">
      <alignment horizontal="center" vertical="center" wrapText="1"/>
    </xf>
    <xf numFmtId="0" fontId="17" fillId="4" borderId="12" xfId="0" applyFont="1" applyFill="1" applyBorder="1" applyAlignment="1">
      <alignment horizontal="center" vertical="center"/>
    </xf>
    <xf numFmtId="0" fontId="17" fillId="4" borderId="13" xfId="0" applyFont="1" applyFill="1" applyBorder="1" applyAlignment="1">
      <alignment horizontal="center" vertical="center"/>
    </xf>
    <xf numFmtId="0" fontId="17" fillId="4" borderId="14" xfId="0" applyFont="1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0" fillId="7" borderId="14" xfId="0" applyFill="1" applyBorder="1" applyAlignment="1">
      <alignment horizontal="center" vertical="center"/>
    </xf>
    <xf numFmtId="0" fontId="22" fillId="11" borderId="12" xfId="0" applyFont="1" applyFill="1" applyBorder="1" applyAlignment="1">
      <alignment horizontal="center" vertical="center"/>
    </xf>
    <xf numFmtId="0" fontId="22" fillId="11" borderId="13" xfId="0" applyFont="1" applyFill="1" applyBorder="1" applyAlignment="1">
      <alignment horizontal="center" vertical="center"/>
    </xf>
    <xf numFmtId="0" fontId="22" fillId="11" borderId="14" xfId="0" applyFont="1" applyFill="1" applyBorder="1" applyAlignment="1">
      <alignment horizontal="center" vertical="center"/>
    </xf>
    <xf numFmtId="164" fontId="0" fillId="6" borderId="0" xfId="0" applyNumberFormat="1" applyFill="1" applyAlignment="1">
      <alignment horizontal="center" vertical="center"/>
    </xf>
    <xf numFmtId="0" fontId="23" fillId="0" borderId="0" xfId="0" applyFont="1" applyAlignment="1">
      <alignment horizontal="left" vertical="center" shrinkToFit="1"/>
    </xf>
    <xf numFmtId="0" fontId="23" fillId="0" borderId="0" xfId="0" applyFont="1" applyAlignment="1">
      <alignment vertical="center" shrinkToFit="1"/>
    </xf>
    <xf numFmtId="0" fontId="23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5" borderId="12" xfId="1" applyNumberFormat="1" applyFont="1" applyFill="1" applyBorder="1" applyAlignment="1" applyProtection="1">
      <alignment horizontal="center" vertical="center"/>
    </xf>
    <xf numFmtId="0" fontId="19" fillId="5" borderId="13" xfId="0" applyFont="1" applyFill="1" applyBorder="1" applyAlignment="1" applyProtection="1"/>
    <xf numFmtId="0" fontId="19" fillId="5" borderId="14" xfId="0" applyFont="1" applyFill="1" applyBorder="1" applyAlignment="1" applyProtection="1"/>
    <xf numFmtId="0" fontId="23" fillId="0" borderId="28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 shrinkToFit="1"/>
    </xf>
    <xf numFmtId="0" fontId="18" fillId="0" borderId="32" xfId="0" applyFont="1" applyBorder="1" applyAlignment="1">
      <alignment horizontal="center" vertical="center" shrinkToFit="1"/>
    </xf>
    <xf numFmtId="0" fontId="30" fillId="14" borderId="1" xfId="1" applyFont="1" applyFill="1" applyBorder="1" applyAlignment="1" applyProtection="1">
      <alignment horizontal="center" vertical="center"/>
    </xf>
    <xf numFmtId="0" fontId="31" fillId="14" borderId="1" xfId="1" applyFont="1" applyFill="1" applyBorder="1" applyAlignment="1" applyProtection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</cellXfs>
  <cellStyles count="3">
    <cellStyle name="Hipervínculo" xfId="1" builtinId="8"/>
    <cellStyle name="Normal" xfId="0" builtinId="0"/>
    <cellStyle name="Porcentual" xfId="2" builtinId="5"/>
  </cellStyles>
  <dxfs count="1">
    <dxf>
      <fill>
        <patternFill patternType="gray0625"/>
      </fill>
    </dxf>
  </dxfs>
  <tableStyles count="0" defaultTableStyle="TableStyleMedium9" defaultPivotStyle="PivotStyleLight16"/>
  <colors>
    <mruColors>
      <color rgb="FFFFD13F"/>
      <color rgb="FFCCFFCC"/>
      <color rgb="FF99FF99"/>
      <color rgb="FFFFFF66"/>
      <color rgb="FF6A9AD4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981075</xdr:colOff>
      <xdr:row>89</xdr:row>
      <xdr:rowOff>142875</xdr:rowOff>
    </xdr:from>
    <xdr:to>
      <xdr:col>2</xdr:col>
      <xdr:colOff>0</xdr:colOff>
      <xdr:row>90</xdr:row>
      <xdr:rowOff>76200</xdr:rowOff>
    </xdr:to>
    <xdr:cxnSp macro="">
      <xdr:nvCxnSpPr>
        <xdr:cNvPr id="3" name="2 Conector recto de flecha"/>
        <xdr:cNvCxnSpPr/>
      </xdr:nvCxnSpPr>
      <xdr:spPr>
        <a:xfrm>
          <a:off x="1038225" y="18383250"/>
          <a:ext cx="552450" cy="123825"/>
        </a:xfrm>
        <a:prstGeom prst="straightConnector1">
          <a:avLst/>
        </a:prstGeom>
        <a:ln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inelefantesblancos.com.ar/inversiones/titulos-publicos.html" TargetMode="External"/><Relationship Id="rId1" Type="http://schemas.openxmlformats.org/officeDocument/2006/relationships/hyperlink" Target="http://www.sinelefantesblancos.com.ar/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inelefantesblancos.com.ar/inversiones/lebac.php" TargetMode="External"/><Relationship Id="rId1" Type="http://schemas.openxmlformats.org/officeDocument/2006/relationships/hyperlink" Target="http://www.sinelefantesblancos.com.ar/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41"/>
  <sheetViews>
    <sheetView showGridLines="0" tabSelected="1" workbookViewId="0">
      <selection activeCell="C17" sqref="C17"/>
    </sheetView>
  </sheetViews>
  <sheetFormatPr baseColWidth="10" defaultRowHeight="15"/>
  <cols>
    <col min="1" max="1" width="0.85546875" style="1" customWidth="1"/>
    <col min="2" max="2" width="23" style="1" customWidth="1"/>
    <col min="3" max="3" width="28.140625" style="1" customWidth="1"/>
    <col min="4" max="4" width="26.42578125" style="1" customWidth="1"/>
    <col min="5" max="5" width="23.42578125" style="1" customWidth="1"/>
    <col min="6" max="6" width="13.42578125" style="1" bestFit="1" customWidth="1"/>
    <col min="7" max="7" width="21.5703125" style="1" customWidth="1"/>
    <col min="8" max="8" width="22.28515625" style="1" bestFit="1" customWidth="1"/>
    <col min="9" max="9" width="11.140625" style="1" bestFit="1" customWidth="1"/>
    <col min="10" max="16384" width="11.42578125" style="1"/>
  </cols>
  <sheetData>
    <row r="1" spans="2:9" s="19" customFormat="1" ht="15.75" thickBot="1">
      <c r="B1" s="20"/>
      <c r="C1" s="21"/>
    </row>
    <row r="2" spans="2:9" s="22" customFormat="1" ht="34.5" thickBot="1">
      <c r="B2" s="170" t="s">
        <v>19</v>
      </c>
      <c r="C2" s="171"/>
      <c r="D2" s="171"/>
      <c r="E2" s="171"/>
      <c r="F2" s="171"/>
      <c r="G2" s="171"/>
      <c r="H2" s="172"/>
    </row>
    <row r="3" spans="2:9" s="16" customFormat="1" ht="6.75" customHeight="1" thickBot="1">
      <c r="C3" s="17"/>
      <c r="D3" s="18"/>
      <c r="E3" s="18"/>
      <c r="F3" s="18"/>
      <c r="G3" s="18"/>
      <c r="H3" s="18"/>
      <c r="I3" s="18"/>
    </row>
    <row r="4" spans="2:9" s="16" customFormat="1" ht="26.25" customHeight="1" thickBot="1">
      <c r="B4" s="167" t="s">
        <v>18</v>
      </c>
      <c r="C4" s="168"/>
      <c r="D4" s="168"/>
      <c r="E4" s="168"/>
      <c r="F4" s="168"/>
      <c r="G4" s="168"/>
      <c r="H4" s="168"/>
      <c r="I4" s="169"/>
    </row>
    <row r="5" spans="2:9" ht="6.75" customHeight="1" thickBot="1"/>
    <row r="6" spans="2:9">
      <c r="B6" s="222" t="s">
        <v>11</v>
      </c>
      <c r="C6" s="224"/>
      <c r="D6" s="12"/>
    </row>
    <row r="7" spans="2:9" ht="15.75" thickBot="1">
      <c r="B7" s="223" t="s">
        <v>12</v>
      </c>
      <c r="C7" s="225"/>
      <c r="D7" s="13">
        <v>0.15</v>
      </c>
    </row>
    <row r="8" spans="2:9" s="2" customFormat="1" ht="6.75" customHeight="1" thickBot="1"/>
    <row r="9" spans="2:9" ht="15.75" thickBot="1">
      <c r="B9" s="165" t="s">
        <v>6</v>
      </c>
      <c r="C9" s="7" t="s">
        <v>0</v>
      </c>
      <c r="D9" s="3" t="s">
        <v>1</v>
      </c>
      <c r="E9" s="3" t="s">
        <v>2</v>
      </c>
      <c r="F9" s="3" t="s">
        <v>3</v>
      </c>
      <c r="G9" s="3" t="s">
        <v>1</v>
      </c>
      <c r="H9" s="3" t="s">
        <v>4</v>
      </c>
      <c r="I9" s="4" t="s">
        <v>5</v>
      </c>
    </row>
    <row r="10" spans="2:9" ht="15.75" thickBot="1">
      <c r="B10" s="166"/>
      <c r="C10" s="7">
        <v>1</v>
      </c>
      <c r="D10" s="3">
        <v>2</v>
      </c>
      <c r="E10" s="3">
        <v>3</v>
      </c>
      <c r="F10" s="3">
        <v>4</v>
      </c>
      <c r="G10" s="3">
        <v>6</v>
      </c>
      <c r="H10" s="3">
        <v>12</v>
      </c>
      <c r="I10" s="4">
        <v>365</v>
      </c>
    </row>
    <row r="11" spans="2:9">
      <c r="B11" s="5" t="s">
        <v>7</v>
      </c>
      <c r="C11" s="11">
        <f>C12*C10</f>
        <v>0.15</v>
      </c>
      <c r="D11" s="11">
        <f>1-((1-$C$11)^(1/D10))</f>
        <v>7.8045554270711248E-2</v>
      </c>
      <c r="E11" s="11">
        <f t="shared" ref="E11:I11" si="0">1-((1-$C$11)^(1/E10))</f>
        <v>5.2731762814090422E-2</v>
      </c>
      <c r="F11" s="11">
        <f t="shared" si="0"/>
        <v>3.9815410595812173E-2</v>
      </c>
      <c r="G11" s="11">
        <f t="shared" si="0"/>
        <v>2.672293914532764E-2</v>
      </c>
      <c r="H11" s="11">
        <f t="shared" si="0"/>
        <v>1.3451947011868914E-2</v>
      </c>
      <c r="I11" s="11">
        <f t="shared" si="0"/>
        <v>4.4515822875057509E-4</v>
      </c>
    </row>
    <row r="12" spans="2:9">
      <c r="B12" s="6" t="s">
        <v>8</v>
      </c>
      <c r="C12" s="9">
        <f>D7</f>
        <v>0.15</v>
      </c>
      <c r="D12" s="9">
        <f t="shared" ref="D12:I12" si="1">D11*D10</f>
        <v>0.1560911085414225</v>
      </c>
      <c r="E12" s="9">
        <f t="shared" si="1"/>
        <v>0.15819528844227126</v>
      </c>
      <c r="F12" s="9">
        <f t="shared" si="1"/>
        <v>0.15926164238324869</v>
      </c>
      <c r="G12" s="9">
        <f t="shared" si="1"/>
        <v>0.16033763487196584</v>
      </c>
      <c r="H12" s="9">
        <f t="shared" si="1"/>
        <v>0.16142336414242697</v>
      </c>
      <c r="I12" s="9">
        <f t="shared" si="1"/>
        <v>0.16248275349395991</v>
      </c>
    </row>
    <row r="13" spans="2:9">
      <c r="B13" s="6" t="s">
        <v>10</v>
      </c>
      <c r="C13" s="9">
        <f t="shared" ref="C13:I13" si="2">C14*C10</f>
        <v>0.17647058823529413</v>
      </c>
      <c r="D13" s="9">
        <f t="shared" si="2"/>
        <v>0.16930457818656164</v>
      </c>
      <c r="E13" s="9">
        <f t="shared" si="2"/>
        <v>0.16700157593400222</v>
      </c>
      <c r="F13" s="9">
        <f t="shared" si="2"/>
        <v>0.16586565139737708</v>
      </c>
      <c r="G13" s="9">
        <f t="shared" si="2"/>
        <v>0.16473997109432226</v>
      </c>
      <c r="H13" s="9">
        <f t="shared" si="2"/>
        <v>0.16362443132242177</v>
      </c>
      <c r="I13" s="9">
        <f t="shared" si="2"/>
        <v>0.1625551162416039</v>
      </c>
    </row>
    <row r="14" spans="2:9">
      <c r="B14" s="6" t="s">
        <v>9</v>
      </c>
      <c r="C14" s="9">
        <f>C11/(1-C11)</f>
        <v>0.17647058823529413</v>
      </c>
      <c r="D14" s="9">
        <f>((1+$C$14)^(1/D10))-1</f>
        <v>8.4652289093280819E-2</v>
      </c>
      <c r="E14" s="9">
        <f t="shared" ref="E14:I14" si="3">((1+$C$14)^(1/E10))-1</f>
        <v>5.5667191978000741E-2</v>
      </c>
      <c r="F14" s="9">
        <f t="shared" si="3"/>
        <v>4.146641284934427E-2</v>
      </c>
      <c r="G14" s="9">
        <f t="shared" si="3"/>
        <v>2.745666184905371E-2</v>
      </c>
      <c r="H14" s="9">
        <f t="shared" si="3"/>
        <v>1.3635369276868481E-2</v>
      </c>
      <c r="I14" s="9">
        <f t="shared" si="3"/>
        <v>4.4535648285370932E-4</v>
      </c>
    </row>
    <row r="15" spans="2:9" ht="6.75" customHeight="1" thickBot="1">
      <c r="B15" s="2"/>
      <c r="C15" s="10"/>
      <c r="D15" s="10"/>
      <c r="E15" s="10"/>
      <c r="F15" s="10"/>
      <c r="G15" s="10"/>
      <c r="H15" s="10"/>
      <c r="I15" s="10"/>
    </row>
    <row r="16" spans="2:9">
      <c r="B16" s="14" t="s">
        <v>14</v>
      </c>
      <c r="C16" s="10"/>
      <c r="D16" s="10"/>
      <c r="E16" s="10"/>
      <c r="F16" s="10"/>
      <c r="G16" s="10"/>
      <c r="H16" s="10"/>
      <c r="I16" s="10"/>
    </row>
    <row r="17" spans="2:9" ht="15.75" thickBot="1">
      <c r="B17" s="15" t="s">
        <v>15</v>
      </c>
      <c r="C17" s="10"/>
      <c r="D17" s="10"/>
      <c r="E17" s="10"/>
      <c r="F17" s="10"/>
      <c r="G17" s="10"/>
      <c r="H17" s="10"/>
      <c r="I17" s="10"/>
    </row>
    <row r="18" spans="2:9" s="2" customFormat="1" ht="6.75" customHeight="1"/>
    <row r="19" spans="2:9" s="2" customFormat="1">
      <c r="B19" s="175" t="s">
        <v>16</v>
      </c>
      <c r="C19" s="176"/>
    </row>
    <row r="20" spans="2:9" s="2" customFormat="1" ht="6.75" customHeight="1" thickBot="1"/>
    <row r="21" spans="2:9" s="2" customFormat="1" ht="15.75" thickBot="1">
      <c r="B21" s="165" t="s">
        <v>6</v>
      </c>
      <c r="C21" s="7" t="s">
        <v>0</v>
      </c>
      <c r="D21" s="3" t="s">
        <v>1</v>
      </c>
      <c r="E21" s="3" t="s">
        <v>2</v>
      </c>
      <c r="F21" s="3" t="s">
        <v>3</v>
      </c>
      <c r="G21" s="3" t="s">
        <v>1</v>
      </c>
      <c r="H21" s="3" t="s">
        <v>4</v>
      </c>
      <c r="I21" s="4" t="s">
        <v>5</v>
      </c>
    </row>
    <row r="22" spans="2:9" s="2" customFormat="1" ht="15.75" thickBot="1">
      <c r="B22" s="166"/>
      <c r="C22" s="7">
        <v>1</v>
      </c>
      <c r="D22" s="3">
        <v>2</v>
      </c>
      <c r="E22" s="3">
        <v>3</v>
      </c>
      <c r="F22" s="3">
        <v>4</v>
      </c>
      <c r="G22" s="3">
        <v>6</v>
      </c>
      <c r="H22" s="3">
        <v>12</v>
      </c>
      <c r="I22" s="4">
        <v>365</v>
      </c>
    </row>
    <row r="23" spans="2:9">
      <c r="B23" s="6" t="s">
        <v>13</v>
      </c>
      <c r="C23" s="9">
        <f>NOMINAL($C$14,C22)</f>
        <v>0.17647058823529416</v>
      </c>
      <c r="D23" s="9">
        <f t="shared" ref="D23:I23" si="4">NOMINAL($C$14,D22)</f>
        <v>0.16930457818656164</v>
      </c>
      <c r="E23" s="9">
        <f t="shared" si="4"/>
        <v>0.16700157593400222</v>
      </c>
      <c r="F23" s="9">
        <f t="shared" si="4"/>
        <v>0.16586565139737708</v>
      </c>
      <c r="G23" s="9">
        <f t="shared" si="4"/>
        <v>0.16473997109432226</v>
      </c>
      <c r="H23" s="9">
        <f t="shared" si="4"/>
        <v>0.16362443132242177</v>
      </c>
      <c r="I23" s="9">
        <f t="shared" si="4"/>
        <v>0.1625551162416039</v>
      </c>
    </row>
    <row r="24" spans="2:9" ht="6.75" customHeight="1">
      <c r="C24" s="8"/>
      <c r="D24" s="8"/>
      <c r="E24" s="8"/>
      <c r="F24" s="8"/>
      <c r="G24" s="8"/>
      <c r="H24" s="8"/>
      <c r="I24" s="8"/>
    </row>
    <row r="25" spans="2:9">
      <c r="B25" s="175" t="s">
        <v>17</v>
      </c>
      <c r="C25" s="176"/>
      <c r="D25" s="8"/>
      <c r="E25" s="8"/>
      <c r="F25" s="8"/>
      <c r="G25" s="8"/>
      <c r="H25" s="8"/>
      <c r="I25" s="8"/>
    </row>
    <row r="26" spans="2:9" ht="6.75" customHeight="1">
      <c r="C26" s="8"/>
      <c r="D26" s="8"/>
      <c r="E26" s="8"/>
      <c r="F26" s="8"/>
      <c r="G26" s="8"/>
      <c r="H26" s="8"/>
      <c r="I26" s="8"/>
    </row>
    <row r="27" spans="2:9">
      <c r="B27" s="177" t="s">
        <v>121</v>
      </c>
      <c r="C27" s="178"/>
      <c r="D27" s="9">
        <f>F23</f>
        <v>0.16586565139737708</v>
      </c>
      <c r="E27" s="8"/>
      <c r="F27" s="8"/>
      <c r="G27" s="8"/>
      <c r="H27" s="8"/>
      <c r="I27" s="8"/>
    </row>
    <row r="28" spans="2:9">
      <c r="B28" s="179" t="s">
        <v>120</v>
      </c>
      <c r="C28" s="180"/>
      <c r="D28" s="9">
        <f>EFFECT(D27,F22)</f>
        <v>0.17647058823529393</v>
      </c>
      <c r="E28" s="10"/>
      <c r="F28" s="10"/>
      <c r="G28" s="10"/>
      <c r="H28" s="10"/>
      <c r="I28" s="10"/>
    </row>
    <row r="29" spans="2:9" ht="15.75" thickBot="1">
      <c r="C29" s="8"/>
      <c r="D29" s="8"/>
      <c r="E29" s="8"/>
      <c r="F29" s="8"/>
      <c r="G29" s="8"/>
      <c r="H29" s="8"/>
      <c r="I29" s="8"/>
    </row>
    <row r="30" spans="2:9" ht="31.5" customHeight="1" thickBot="1">
      <c r="B30" s="173" t="s">
        <v>35</v>
      </c>
      <c r="C30" s="174"/>
      <c r="D30" s="141"/>
      <c r="E30" s="173" t="s">
        <v>36</v>
      </c>
      <c r="F30" s="174"/>
      <c r="G30" s="141"/>
      <c r="H30" s="173" t="s">
        <v>31</v>
      </c>
      <c r="I30" s="174"/>
    </row>
    <row r="31" spans="2:9">
      <c r="B31" s="141"/>
      <c r="C31" s="142"/>
      <c r="D31" s="141"/>
      <c r="E31" s="142"/>
      <c r="F31" s="141"/>
      <c r="G31" s="141"/>
      <c r="H31" s="141"/>
      <c r="I31" s="141"/>
    </row>
    <row r="32" spans="2:9" ht="18" customHeight="1">
      <c r="B32" s="143" t="s">
        <v>20</v>
      </c>
      <c r="C32" s="144">
        <v>42466</v>
      </c>
      <c r="D32" s="145"/>
      <c r="E32" s="146" t="s">
        <v>116</v>
      </c>
      <c r="F32" s="147">
        <v>42466</v>
      </c>
      <c r="G32" s="148"/>
      <c r="H32" s="145" t="s">
        <v>32</v>
      </c>
      <c r="I32" s="145">
        <v>0.28999999999999998</v>
      </c>
    </row>
    <row r="33" spans="2:9" ht="18" customHeight="1">
      <c r="B33" s="143" t="s">
        <v>21</v>
      </c>
      <c r="C33" s="144">
        <v>42501</v>
      </c>
      <c r="D33" s="145"/>
      <c r="E33" s="146" t="s">
        <v>21</v>
      </c>
      <c r="F33" s="147">
        <v>42501</v>
      </c>
      <c r="G33" s="148"/>
      <c r="H33" s="145" t="s">
        <v>119</v>
      </c>
      <c r="I33" s="145">
        <v>0.35</v>
      </c>
    </row>
    <row r="34" spans="2:9" ht="18" customHeight="1">
      <c r="B34" s="143" t="s">
        <v>22</v>
      </c>
      <c r="C34" s="149">
        <f>C33-C32</f>
        <v>35</v>
      </c>
      <c r="D34" s="145"/>
      <c r="E34" s="146" t="s">
        <v>22</v>
      </c>
      <c r="F34" s="150">
        <f>F33-F32</f>
        <v>35</v>
      </c>
      <c r="G34" s="148"/>
      <c r="H34" s="145" t="s">
        <v>31</v>
      </c>
      <c r="I34" s="145">
        <f>((1+I32)/(1+I33))-1</f>
        <v>-4.4444444444444509E-2</v>
      </c>
    </row>
    <row r="35" spans="2:9" ht="18" customHeight="1">
      <c r="B35" s="143" t="s">
        <v>23</v>
      </c>
      <c r="C35" s="151">
        <v>96.484200000000001</v>
      </c>
      <c r="D35" s="145"/>
      <c r="E35" s="152" t="s">
        <v>40</v>
      </c>
      <c r="F35" s="153">
        <v>10000</v>
      </c>
      <c r="G35" s="148"/>
      <c r="H35" s="145"/>
      <c r="I35" s="145"/>
    </row>
    <row r="36" spans="2:9" ht="18" customHeight="1">
      <c r="B36" s="143" t="s">
        <v>24</v>
      </c>
      <c r="C36" s="149">
        <v>100</v>
      </c>
      <c r="D36" s="145"/>
      <c r="E36" s="154" t="s">
        <v>38</v>
      </c>
      <c r="F36" s="155">
        <v>0.2</v>
      </c>
      <c r="G36" s="148"/>
      <c r="H36" s="145"/>
      <c r="I36" s="145"/>
    </row>
    <row r="37" spans="2:9" ht="18" customHeight="1" thickBot="1">
      <c r="B37" s="143" t="s">
        <v>25</v>
      </c>
      <c r="C37" s="149">
        <v>3</v>
      </c>
      <c r="D37" s="156"/>
      <c r="E37" s="162" t="s">
        <v>117</v>
      </c>
      <c r="F37" s="163">
        <f>F36/365*F34</f>
        <v>1.9178082191780823E-2</v>
      </c>
      <c r="G37" s="148"/>
      <c r="H37" s="156"/>
      <c r="I37" s="156"/>
    </row>
    <row r="38" spans="2:9" ht="18" customHeight="1" thickBot="1">
      <c r="B38" s="159" t="s">
        <v>26</v>
      </c>
      <c r="C38" s="160">
        <f>DISC(C32,C33,C35,C36,C37)</f>
        <v>0.36664771428571452</v>
      </c>
      <c r="D38" s="156"/>
      <c r="E38" s="162" t="s">
        <v>39</v>
      </c>
      <c r="F38" s="163">
        <f>((1+F37)^(365/F34))-1</f>
        <v>0.21909205485426564</v>
      </c>
      <c r="G38" s="157"/>
      <c r="H38" s="156"/>
      <c r="I38" s="156"/>
    </row>
    <row r="39" spans="2:9" ht="16.5" thickBot="1">
      <c r="B39" s="159" t="s">
        <v>27</v>
      </c>
      <c r="C39" s="160">
        <f>C38/365*35</f>
        <v>3.5158000000000023E-2</v>
      </c>
      <c r="D39" s="156"/>
      <c r="E39" s="162" t="s">
        <v>118</v>
      </c>
      <c r="F39" s="164">
        <f>F35*F37</f>
        <v>191.78082191780823</v>
      </c>
      <c r="G39" s="161"/>
      <c r="H39" s="156"/>
      <c r="I39" s="156"/>
    </row>
    <row r="40" spans="2:9" ht="16.5" thickBot="1">
      <c r="B40" s="159" t="s">
        <v>28</v>
      </c>
      <c r="C40" s="160">
        <f>INTRATE(C32,C33,C35,C36,C37)</f>
        <v>0.38000803684511469</v>
      </c>
      <c r="D40" s="158"/>
      <c r="E40" s="163" t="s">
        <v>41</v>
      </c>
      <c r="F40" s="164">
        <f>F35+(F35*F36*F34/365)</f>
        <v>10191.780821917808</v>
      </c>
      <c r="G40" s="156"/>
      <c r="H40" s="156"/>
      <c r="I40" s="156"/>
    </row>
    <row r="42" spans="2:9" ht="15.75" thickBot="1"/>
    <row r="43" spans="2:9" ht="53.25" customHeight="1" thickBot="1">
      <c r="B43" s="181" t="s">
        <v>33</v>
      </c>
      <c r="C43" s="184"/>
    </row>
    <row r="44" spans="2:9">
      <c r="B44" s="185" t="s">
        <v>34</v>
      </c>
      <c r="C44" s="186"/>
    </row>
    <row r="45" spans="2:9" ht="18.75" customHeight="1">
      <c r="B45" s="187"/>
      <c r="C45" s="188"/>
    </row>
    <row r="46" spans="2:9" ht="18.75" customHeight="1" thickBot="1">
      <c r="B46" s="189"/>
      <c r="C46" s="190"/>
    </row>
    <row r="47" spans="2:9" ht="18.75" customHeight="1" thickBot="1">
      <c r="B47" s="191" t="s">
        <v>37</v>
      </c>
      <c r="C47" s="192"/>
    </row>
    <row r="48" spans="2:9" ht="15.75" thickBot="1"/>
    <row r="49" spans="2:8" ht="24" thickBot="1">
      <c r="B49" s="181" t="s">
        <v>42</v>
      </c>
      <c r="C49" s="184"/>
    </row>
    <row r="50" spans="2:8" ht="15.75" thickBot="1"/>
    <row r="51" spans="2:8" ht="15.75" thickBot="1">
      <c r="B51" s="31" t="s">
        <v>43</v>
      </c>
      <c r="C51" s="32">
        <v>0.3</v>
      </c>
      <c r="D51" s="33"/>
      <c r="E51" s="33"/>
      <c r="F51" s="33"/>
      <c r="G51" s="33"/>
      <c r="H51" s="33"/>
    </row>
    <row r="52" spans="2:8">
      <c r="B52" s="34"/>
      <c r="C52" s="34"/>
      <c r="D52" s="34"/>
      <c r="E52" s="34"/>
      <c r="F52" s="34"/>
      <c r="G52" s="34"/>
      <c r="H52" s="34"/>
    </row>
    <row r="53" spans="2:8">
      <c r="B53" s="35" t="s">
        <v>44</v>
      </c>
      <c r="C53" s="36" t="s">
        <v>45</v>
      </c>
      <c r="D53" s="37"/>
      <c r="E53" s="38"/>
      <c r="F53" s="39"/>
      <c r="G53" s="34"/>
      <c r="H53" s="34"/>
    </row>
    <row r="54" spans="2:8">
      <c r="B54" s="40">
        <v>0.3</v>
      </c>
      <c r="C54" s="41">
        <f>1/(1+B54)</f>
        <v>0.76923076923076916</v>
      </c>
      <c r="D54" s="37"/>
      <c r="E54" s="38"/>
      <c r="F54" s="39"/>
      <c r="G54" s="34"/>
      <c r="H54" s="42"/>
    </row>
    <row r="55" spans="2:8">
      <c r="B55" s="34"/>
      <c r="C55" s="43"/>
      <c r="D55" s="43"/>
      <c r="E55" s="43"/>
      <c r="F55" s="43"/>
      <c r="G55" s="43"/>
      <c r="H55" s="43"/>
    </row>
    <row r="56" spans="2:8">
      <c r="B56" s="193"/>
      <c r="C56" s="195" t="s">
        <v>46</v>
      </c>
      <c r="D56" s="196"/>
      <c r="E56" s="196"/>
      <c r="F56" s="196"/>
      <c r="G56" s="196"/>
      <c r="H56" s="197"/>
    </row>
    <row r="57" spans="2:8">
      <c r="B57" s="194"/>
      <c r="C57" s="44">
        <v>0</v>
      </c>
      <c r="D57" s="45">
        <v>1</v>
      </c>
      <c r="E57" s="44">
        <v>2</v>
      </c>
      <c r="F57" s="45">
        <v>3</v>
      </c>
      <c r="G57" s="46">
        <v>4</v>
      </c>
      <c r="H57" s="44">
        <v>5</v>
      </c>
    </row>
    <row r="58" spans="2:8">
      <c r="B58" s="46" t="s">
        <v>47</v>
      </c>
      <c r="C58" s="47">
        <v>-150000</v>
      </c>
      <c r="D58" s="47">
        <v>170000</v>
      </c>
      <c r="E58" s="47">
        <v>195000</v>
      </c>
      <c r="F58" s="47">
        <v>220000</v>
      </c>
      <c r="G58" s="47">
        <v>245000</v>
      </c>
      <c r="H58" s="47">
        <v>270000</v>
      </c>
    </row>
    <row r="59" spans="2:8">
      <c r="B59" s="48" t="s">
        <v>48</v>
      </c>
      <c r="C59" s="49"/>
      <c r="D59" s="50">
        <f>$C$54^D57</f>
        <v>0.76923076923076916</v>
      </c>
      <c r="E59" s="50">
        <f t="shared" ref="E59:H59" si="5">$C$54^E57</f>
        <v>0.59171597633136086</v>
      </c>
      <c r="F59" s="50">
        <f t="shared" si="5"/>
        <v>0.45516613563950831</v>
      </c>
      <c r="G59" s="50">
        <f t="shared" si="5"/>
        <v>0.35012779664577559</v>
      </c>
      <c r="H59" s="50">
        <f t="shared" si="5"/>
        <v>0.26932907434290426</v>
      </c>
    </row>
    <row r="60" spans="2:8">
      <c r="B60" s="51" t="s">
        <v>49</v>
      </c>
      <c r="C60" s="52">
        <v>-150000</v>
      </c>
      <c r="D60" s="49">
        <f>+D58*D59</f>
        <v>130769.23076923075</v>
      </c>
      <c r="E60" s="49">
        <f>+E58*E59</f>
        <v>115384.61538461536</v>
      </c>
      <c r="F60" s="49">
        <f>+F58*F59</f>
        <v>100136.54984069183</v>
      </c>
      <c r="G60" s="49">
        <f>+G58*G59</f>
        <v>85781.310178215019</v>
      </c>
      <c r="H60" s="49">
        <f>+H58*H59</f>
        <v>72718.850072584144</v>
      </c>
    </row>
    <row r="61" spans="2:8" ht="25.5">
      <c r="B61" s="53" t="s">
        <v>50</v>
      </c>
      <c r="C61" s="54">
        <f>+SUM(D60:H60)+C58</f>
        <v>354790.55624533712</v>
      </c>
      <c r="D61" s="39"/>
      <c r="E61" s="39"/>
      <c r="F61" s="39"/>
      <c r="G61" s="39"/>
      <c r="H61" s="39"/>
    </row>
    <row r="62" spans="2:8">
      <c r="B62" s="53" t="s">
        <v>51</v>
      </c>
      <c r="C62" s="52">
        <f>C58+NPV(B54,D58:H58)</f>
        <v>354790.55624533712</v>
      </c>
      <c r="D62" s="43"/>
      <c r="E62" s="43"/>
      <c r="F62" s="43"/>
      <c r="G62" s="43"/>
      <c r="H62" s="43"/>
    </row>
    <row r="63" spans="2:8">
      <c r="B63" s="51" t="s">
        <v>52</v>
      </c>
      <c r="C63" s="55">
        <f>IRR(C58:H58)</f>
        <v>1.2306996514379087</v>
      </c>
      <c r="D63" s="43"/>
      <c r="E63" s="43"/>
      <c r="F63" s="43"/>
      <c r="G63" s="43"/>
      <c r="H63" s="43"/>
    </row>
    <row r="64" spans="2:8">
      <c r="B64" s="33"/>
      <c r="C64" s="33"/>
      <c r="D64" s="33"/>
      <c r="E64" s="33"/>
      <c r="F64" s="33"/>
      <c r="G64" s="33"/>
      <c r="H64" s="33"/>
    </row>
    <row r="65" spans="2:8">
      <c r="B65" s="33"/>
      <c r="C65" s="33"/>
      <c r="D65" s="33"/>
      <c r="E65" s="33"/>
      <c r="F65" s="33"/>
      <c r="G65" s="33"/>
      <c r="H65" s="33"/>
    </row>
    <row r="66" spans="2:8">
      <c r="B66" s="56" t="s">
        <v>53</v>
      </c>
      <c r="C66" s="57">
        <f>C60+NPV(C63,D58:H58)</f>
        <v>0</v>
      </c>
      <c r="D66" s="33"/>
      <c r="E66" s="33"/>
      <c r="F66" s="33"/>
      <c r="G66" s="33"/>
      <c r="H66" s="33"/>
    </row>
    <row r="67" spans="2:8" ht="15.75" thickBot="1"/>
    <row r="68" spans="2:8" ht="24" thickBot="1">
      <c r="B68" s="181" t="s">
        <v>54</v>
      </c>
      <c r="C68" s="184"/>
      <c r="E68" s="221" t="s">
        <v>123</v>
      </c>
      <c r="F68" s="221"/>
      <c r="G68" s="221"/>
      <c r="H68" s="221"/>
    </row>
    <row r="70" spans="2:8">
      <c r="B70" s="44" t="s">
        <v>46</v>
      </c>
      <c r="C70" s="44" t="s">
        <v>55</v>
      </c>
      <c r="D70" s="44" t="s">
        <v>56</v>
      </c>
      <c r="E70" s="44" t="s">
        <v>57</v>
      </c>
      <c r="G70" s="44" t="s">
        <v>56</v>
      </c>
      <c r="H70" s="44" t="s">
        <v>57</v>
      </c>
    </row>
    <row r="71" spans="2:8">
      <c r="B71" s="35">
        <v>0</v>
      </c>
      <c r="C71" s="68">
        <v>-100</v>
      </c>
      <c r="D71" s="35"/>
      <c r="E71" s="35"/>
      <c r="G71" s="35"/>
      <c r="H71" s="35"/>
    </row>
    <row r="72" spans="2:8">
      <c r="B72" s="48">
        <v>1</v>
      </c>
      <c r="C72" s="49">
        <v>4</v>
      </c>
      <c r="D72" s="59">
        <f>1/(1+($C$76^B72))</f>
        <v>0.96153846153817324</v>
      </c>
      <c r="E72" s="30">
        <f>C72*D72</f>
        <v>3.846153846152693</v>
      </c>
      <c r="G72" s="59">
        <f>1/(1+($H$75^B72))</f>
        <v>0.95238095238095233</v>
      </c>
      <c r="H72" s="30">
        <f>C72*G72</f>
        <v>3.8095238095238093</v>
      </c>
    </row>
    <row r="73" spans="2:8">
      <c r="B73" s="48">
        <v>2</v>
      </c>
      <c r="C73" s="49">
        <v>4</v>
      </c>
      <c r="D73" s="59">
        <f>$D$72^B73</f>
        <v>0.92455621301719704</v>
      </c>
      <c r="E73" s="30">
        <f t="shared" ref="E73:E74" si="6">C73*D73</f>
        <v>3.6982248520687881</v>
      </c>
      <c r="G73" s="60">
        <f>$G$72^B73</f>
        <v>0.90702947845804982</v>
      </c>
      <c r="H73" s="30">
        <f t="shared" ref="H73:H74" si="7">C73*G73</f>
        <v>3.6281179138321993</v>
      </c>
    </row>
    <row r="74" spans="2:8">
      <c r="B74" s="58">
        <v>3</v>
      </c>
      <c r="C74" s="49">
        <v>104</v>
      </c>
      <c r="D74" s="59">
        <f>$D$72^B74</f>
        <v>0.88899635867011517</v>
      </c>
      <c r="E74" s="30">
        <f t="shared" si="6"/>
        <v>92.455621301691977</v>
      </c>
      <c r="G74" s="60">
        <f>$G$72^B74</f>
        <v>0.86383759853147601</v>
      </c>
      <c r="H74" s="30">
        <f t="shared" si="7"/>
        <v>89.83911024727351</v>
      </c>
    </row>
    <row r="75" spans="2:8">
      <c r="B75" s="58"/>
      <c r="C75" s="52"/>
      <c r="D75" s="30"/>
      <c r="E75" s="30"/>
      <c r="G75" s="62" t="s">
        <v>58</v>
      </c>
      <c r="H75" s="63">
        <v>0.05</v>
      </c>
    </row>
    <row r="76" spans="2:8">
      <c r="B76" s="62" t="s">
        <v>52</v>
      </c>
      <c r="C76" s="63">
        <f>IRR(C71:C74)</f>
        <v>4.0000000000311696E-2</v>
      </c>
      <c r="D76" s="61" t="s">
        <v>59</v>
      </c>
      <c r="E76" s="61">
        <f>SUM(E72:E74)</f>
        <v>99.999999999913456</v>
      </c>
      <c r="G76" s="61" t="s">
        <v>59</v>
      </c>
      <c r="H76" s="61">
        <f>SUM(H72:H74)</f>
        <v>97.276751970629519</v>
      </c>
    </row>
    <row r="77" spans="2:8">
      <c r="G77" s="1" t="s">
        <v>51</v>
      </c>
      <c r="H77" s="70">
        <f>NPV(H75,C71:C74)</f>
        <v>-2.5935695517814241</v>
      </c>
    </row>
    <row r="78" spans="2:8" ht="15.75" thickBot="1">
      <c r="G78" s="72" t="s">
        <v>62</v>
      </c>
      <c r="H78" s="73">
        <f>100+H77</f>
        <v>97.406430448218572</v>
      </c>
    </row>
    <row r="79" spans="2:8" ht="24" customHeight="1" thickBot="1">
      <c r="B79" s="181" t="s">
        <v>111</v>
      </c>
      <c r="C79" s="198"/>
      <c r="D79" s="198"/>
      <c r="E79" s="198"/>
      <c r="F79" s="184"/>
      <c r="G79" s="29"/>
    </row>
    <row r="81" spans="2:4">
      <c r="B81" s="44" t="s">
        <v>60</v>
      </c>
      <c r="C81" s="44" t="s">
        <v>55</v>
      </c>
    </row>
    <row r="82" spans="2:4">
      <c r="B82" s="65">
        <v>36961</v>
      </c>
      <c r="C82" s="67">
        <v>-100</v>
      </c>
    </row>
    <row r="83" spans="2:4">
      <c r="B83" s="64">
        <v>37057</v>
      </c>
      <c r="C83" s="49">
        <v>5</v>
      </c>
    </row>
    <row r="84" spans="2:4">
      <c r="B84" s="65">
        <v>37240</v>
      </c>
      <c r="C84" s="49">
        <v>5</v>
      </c>
    </row>
    <row r="85" spans="2:4">
      <c r="B85" s="65">
        <v>37422</v>
      </c>
      <c r="C85" s="49">
        <v>5</v>
      </c>
    </row>
    <row r="86" spans="2:4">
      <c r="B86" s="66">
        <v>37605</v>
      </c>
      <c r="C86" s="49">
        <v>105</v>
      </c>
    </row>
    <row r="87" spans="2:4">
      <c r="B87" s="58"/>
      <c r="C87" s="52"/>
    </row>
    <row r="88" spans="2:4">
      <c r="B88" s="62" t="s">
        <v>110</v>
      </c>
      <c r="C88" s="63">
        <v>0.05</v>
      </c>
    </row>
    <row r="89" spans="2:4">
      <c r="B89" s="62" t="s">
        <v>114</v>
      </c>
      <c r="C89" s="69">
        <f>XIRR(C82:C86,B82:B86)</f>
        <v>0.11821959614753724</v>
      </c>
    </row>
    <row r="90" spans="2:4">
      <c r="B90" s="1" t="s">
        <v>51</v>
      </c>
      <c r="C90" s="1">
        <f>XNPV(0.1182,C82:C86,B82:B86)</f>
        <v>2.8465205215297829E-3</v>
      </c>
    </row>
    <row r="91" spans="2:4">
      <c r="C91" s="140" t="s">
        <v>61</v>
      </c>
      <c r="D91" s="140"/>
    </row>
    <row r="93" spans="2:4">
      <c r="B93" s="62" t="s">
        <v>58</v>
      </c>
      <c r="C93" s="63">
        <v>0.15</v>
      </c>
      <c r="D93" s="139" t="s">
        <v>112</v>
      </c>
    </row>
    <row r="94" spans="2:4">
      <c r="B94" s="61" t="s">
        <v>51</v>
      </c>
      <c r="C94" s="61">
        <f>XNPV(C93,C82:C86,B82:B86)</f>
        <v>-4.4430637948908895</v>
      </c>
      <c r="D94" s="138"/>
    </row>
    <row r="95" spans="2:4">
      <c r="B95" s="61" t="s">
        <v>113</v>
      </c>
      <c r="C95" s="71">
        <f>100+C94</f>
        <v>95.55693620510911</v>
      </c>
      <c r="D95" s="139" t="s">
        <v>115</v>
      </c>
    </row>
    <row r="97" spans="2:6" ht="15.75" thickBot="1"/>
    <row r="98" spans="2:6" ht="27.75" customHeight="1" thickBot="1">
      <c r="B98" s="181" t="s">
        <v>63</v>
      </c>
      <c r="C98" s="182"/>
      <c r="D98" s="182"/>
      <c r="E98" s="182"/>
      <c r="F98" s="183"/>
    </row>
    <row r="99" spans="2:6" ht="15.75" thickBot="1"/>
    <row r="100" spans="2:6" ht="28.5" customHeight="1" thickBot="1">
      <c r="B100" s="79" t="s">
        <v>70</v>
      </c>
    </row>
    <row r="102" spans="2:6">
      <c r="B102" s="29" t="s">
        <v>64</v>
      </c>
    </row>
    <row r="104" spans="2:6">
      <c r="B104" s="23" t="s">
        <v>20</v>
      </c>
      <c r="C104" s="24">
        <v>42466</v>
      </c>
      <c r="E104" s="1" t="s">
        <v>65</v>
      </c>
      <c r="F104" s="74">
        <v>90.9</v>
      </c>
    </row>
    <row r="105" spans="2:6">
      <c r="B105" s="23" t="s">
        <v>21</v>
      </c>
      <c r="C105" s="24">
        <v>42501</v>
      </c>
      <c r="E105" s="1" t="s">
        <v>66</v>
      </c>
      <c r="F105" s="1">
        <v>100</v>
      </c>
    </row>
    <row r="106" spans="2:6">
      <c r="B106" s="23" t="s">
        <v>22</v>
      </c>
      <c r="C106" s="25">
        <f>C105-C104</f>
        <v>35</v>
      </c>
      <c r="E106" s="1" t="s">
        <v>69</v>
      </c>
      <c r="F106" s="1">
        <v>365</v>
      </c>
    </row>
    <row r="107" spans="2:6">
      <c r="B107" s="23" t="s">
        <v>23</v>
      </c>
      <c r="C107" s="26">
        <v>96.484200000000001</v>
      </c>
      <c r="E107" s="1" t="s">
        <v>67</v>
      </c>
      <c r="F107" s="75">
        <f>((F105/F104))-1</f>
        <v>0.10011001100109995</v>
      </c>
    </row>
    <row r="108" spans="2:6">
      <c r="B108" s="23" t="s">
        <v>24</v>
      </c>
      <c r="C108" s="25">
        <v>100</v>
      </c>
      <c r="E108" s="77" t="s">
        <v>68</v>
      </c>
      <c r="F108" s="76">
        <f>F107/(1+F107)</f>
        <v>9.0999999999999873E-2</v>
      </c>
    </row>
    <row r="109" spans="2:6" ht="15.75" thickBot="1">
      <c r="B109" s="23" t="s">
        <v>25</v>
      </c>
      <c r="C109" s="25">
        <v>3</v>
      </c>
    </row>
    <row r="110" spans="2:6" ht="15.75" thickBot="1">
      <c r="B110" s="27" t="s">
        <v>26</v>
      </c>
      <c r="C110" s="28">
        <f>DISC(C104,C105,C107,C108,C109)</f>
        <v>0.36664771428571452</v>
      </c>
      <c r="E110" s="1" t="s">
        <v>39</v>
      </c>
      <c r="F110" s="76">
        <f>((1+F107)^(365/F106))-1</f>
        <v>0.10011001100109995</v>
      </c>
    </row>
    <row r="111" spans="2:6" ht="15.75" thickBot="1">
      <c r="B111" s="27" t="s">
        <v>68</v>
      </c>
      <c r="C111" s="28">
        <f>C110/365*35</f>
        <v>3.5158000000000023E-2</v>
      </c>
      <c r="E111" s="1" t="s">
        <v>38</v>
      </c>
      <c r="F111" s="78">
        <f>F107*365/F106</f>
        <v>0.10011001100109995</v>
      </c>
    </row>
    <row r="112" spans="2:6" ht="15.75" thickBot="1">
      <c r="B112" s="27" t="s">
        <v>28</v>
      </c>
      <c r="C112" s="28">
        <f>INTRATE(C104,C105,C107,C108,C109)</f>
        <v>0.38000803684511469</v>
      </c>
    </row>
    <row r="113" spans="2:6" ht="15.75" thickBot="1"/>
    <row r="114" spans="2:6" ht="28.5" customHeight="1" thickBot="1">
      <c r="B114" s="199" t="s">
        <v>71</v>
      </c>
      <c r="C114" s="200"/>
      <c r="D114" s="200"/>
      <c r="E114" s="200"/>
      <c r="F114" s="201"/>
    </row>
    <row r="116" spans="2:6">
      <c r="B116" s="29" t="s">
        <v>72</v>
      </c>
    </row>
    <row r="117" spans="2:6">
      <c r="B117" s="29"/>
    </row>
    <row r="118" spans="2:6" ht="20.25" customHeight="1">
      <c r="B118" s="80" t="s">
        <v>73</v>
      </c>
      <c r="E118" s="81" t="s">
        <v>74</v>
      </c>
    </row>
    <row r="119" spans="2:6">
      <c r="B119" s="1" t="s">
        <v>65</v>
      </c>
      <c r="C119" s="74">
        <v>90.9</v>
      </c>
      <c r="E119" s="1" t="s">
        <v>75</v>
      </c>
      <c r="F119" s="74">
        <v>81.96</v>
      </c>
    </row>
    <row r="120" spans="2:6">
      <c r="B120" s="1" t="s">
        <v>66</v>
      </c>
      <c r="C120" s="1">
        <v>100</v>
      </c>
      <c r="E120" s="1" t="s">
        <v>66</v>
      </c>
      <c r="F120" s="1">
        <v>100</v>
      </c>
    </row>
    <row r="121" spans="2:6">
      <c r="B121" s="1" t="s">
        <v>69</v>
      </c>
      <c r="C121" s="1">
        <v>365</v>
      </c>
      <c r="E121" s="1" t="s">
        <v>69</v>
      </c>
      <c r="F121" s="1">
        <f>365*2</f>
        <v>730</v>
      </c>
    </row>
    <row r="122" spans="2:6">
      <c r="B122" s="80" t="s">
        <v>67</v>
      </c>
      <c r="C122" s="82">
        <f>((C120/C119))-1</f>
        <v>0.10011001100109995</v>
      </c>
      <c r="E122" s="80" t="s">
        <v>67</v>
      </c>
      <c r="F122" s="82">
        <f>((F120/F119))-1</f>
        <v>0.22010736944851161</v>
      </c>
    </row>
    <row r="123" spans="2:6" ht="15.75" thickBot="1">
      <c r="B123" s="77" t="s">
        <v>68</v>
      </c>
      <c r="C123" s="76">
        <f>C122/(1+C122)</f>
        <v>9.0999999999999873E-2</v>
      </c>
      <c r="E123" s="77"/>
      <c r="F123" s="76"/>
    </row>
    <row r="124" spans="2:6" ht="21" customHeight="1" thickBot="1">
      <c r="E124" s="83" t="s">
        <v>76</v>
      </c>
      <c r="F124" s="84">
        <f>((1+F122)/(1+C122))-1</f>
        <v>0.10907759882869716</v>
      </c>
    </row>
    <row r="125" spans="2:6">
      <c r="B125" s="1" t="s">
        <v>39</v>
      </c>
      <c r="C125" s="76">
        <f>((1+C122)^(365/C121))-1</f>
        <v>0.10011001100109995</v>
      </c>
      <c r="F125" s="76"/>
    </row>
    <row r="126" spans="2:6">
      <c r="B126" s="1" t="s">
        <v>38</v>
      </c>
      <c r="C126" s="78">
        <f>C122*365/C121</f>
        <v>0.10011001100109995</v>
      </c>
      <c r="F126" s="78"/>
    </row>
    <row r="127" spans="2:6" ht="15.75" thickBot="1"/>
    <row r="128" spans="2:6" ht="27.75" customHeight="1" thickBot="1">
      <c r="B128" s="181" t="s">
        <v>77</v>
      </c>
      <c r="C128" s="182"/>
      <c r="D128" s="182"/>
      <c r="E128" s="182"/>
      <c r="F128" s="183"/>
    </row>
    <row r="130" spans="2:7">
      <c r="B130" s="1" t="s">
        <v>81</v>
      </c>
      <c r="D130" s="1">
        <v>-100</v>
      </c>
      <c r="E130" s="1" t="s">
        <v>80</v>
      </c>
      <c r="F130" s="1" t="s">
        <v>82</v>
      </c>
      <c r="G130" s="1" t="s">
        <v>83</v>
      </c>
    </row>
    <row r="131" spans="2:7">
      <c r="B131" s="25">
        <v>1</v>
      </c>
      <c r="C131" s="85">
        <v>0.04</v>
      </c>
      <c r="D131" s="1">
        <f>100*C131</f>
        <v>4</v>
      </c>
      <c r="E131" s="1">
        <v>99.6</v>
      </c>
      <c r="F131" s="86">
        <v>-99.6</v>
      </c>
    </row>
    <row r="132" spans="2:7">
      <c r="B132" s="25">
        <v>2</v>
      </c>
      <c r="C132" s="85">
        <v>3.1E-2</v>
      </c>
      <c r="D132" s="1">
        <f>D131*(1+C132)</f>
        <v>4.1239999999999997</v>
      </c>
      <c r="E132" s="1">
        <v>100.8</v>
      </c>
      <c r="F132" s="1">
        <v>5</v>
      </c>
      <c r="G132" s="1">
        <f>E132+F132</f>
        <v>105.8</v>
      </c>
    </row>
    <row r="133" spans="2:7">
      <c r="B133" s="25">
        <v>3</v>
      </c>
      <c r="C133" s="85">
        <v>3.9E-2</v>
      </c>
      <c r="D133" s="1">
        <f t="shared" ref="D133" si="8">D132*(1+C133)</f>
        <v>4.2848359999999994</v>
      </c>
      <c r="E133" s="1">
        <v>101.6</v>
      </c>
      <c r="F133" s="1">
        <v>5</v>
      </c>
      <c r="G133" s="1">
        <f t="shared" ref="G133:G134" si="9">E133+F133</f>
        <v>106.6</v>
      </c>
    </row>
    <row r="134" spans="2:7">
      <c r="B134" s="25">
        <v>4</v>
      </c>
      <c r="C134" s="85">
        <v>3.3000000000000002E-2</v>
      </c>
      <c r="D134" s="1">
        <f>100+D133*(1+C134)</f>
        <v>104.426235588</v>
      </c>
      <c r="E134" s="1">
        <v>102.3</v>
      </c>
      <c r="F134" s="1">
        <v>5</v>
      </c>
      <c r="G134" s="1">
        <f t="shared" si="9"/>
        <v>107.3</v>
      </c>
    </row>
    <row r="135" spans="2:7" ht="15.75" thickBot="1">
      <c r="B135" s="86"/>
    </row>
    <row r="136" spans="2:7" ht="15.75" thickBot="1">
      <c r="C136" s="87" t="s">
        <v>52</v>
      </c>
      <c r="D136" s="87" t="s">
        <v>78</v>
      </c>
      <c r="E136" s="93" t="s">
        <v>79</v>
      </c>
    </row>
    <row r="137" spans="2:7">
      <c r="C137" s="91">
        <v>-99.6</v>
      </c>
      <c r="D137" s="88"/>
      <c r="E137" s="94">
        <v>99.6</v>
      </c>
    </row>
    <row r="138" spans="2:7">
      <c r="C138" s="88">
        <v>5</v>
      </c>
      <c r="D138" s="89">
        <f>(G132/E131)-1</f>
        <v>6.2248995983935851E-2</v>
      </c>
      <c r="E138" s="94"/>
    </row>
    <row r="139" spans="2:7">
      <c r="C139" s="88">
        <v>5</v>
      </c>
      <c r="D139" s="89">
        <f>(G133/E132)-1</f>
        <v>5.7539682539682557E-2</v>
      </c>
      <c r="E139" s="94"/>
    </row>
    <row r="140" spans="2:7" ht="15.75" thickBot="1">
      <c r="C140" s="88">
        <v>107.3</v>
      </c>
      <c r="D140" s="89">
        <f>(G134/E133)-1</f>
        <v>5.6102362204724532E-2</v>
      </c>
      <c r="E140" s="94">
        <f>(F132*((1+C132)^(3-1)))+(F133*((1+C133)^(2-1)))+G134</f>
        <v>117.809805</v>
      </c>
    </row>
    <row r="141" spans="2:7" ht="15.75" thickBot="1">
      <c r="C141" s="92">
        <f>IRR(C137:C140)</f>
        <v>5.8726464736503316E-2</v>
      </c>
      <c r="D141" s="90">
        <f>((1+(((1+D138)*(1+D139)*(1+D140))-1))^(1/3))-1</f>
        <v>5.8627094894447618E-2</v>
      </c>
      <c r="E141" s="95">
        <f>((E140/E137)^(1/3))-1</f>
        <v>5.7565722721618195E-2</v>
      </c>
    </row>
  </sheetData>
  <mergeCells count="25">
    <mergeCell ref="B98:F98"/>
    <mergeCell ref="B128:F128"/>
    <mergeCell ref="B43:C43"/>
    <mergeCell ref="B44:C46"/>
    <mergeCell ref="B47:C47"/>
    <mergeCell ref="B68:C68"/>
    <mergeCell ref="B49:C49"/>
    <mergeCell ref="B56:B57"/>
    <mergeCell ref="C56:H56"/>
    <mergeCell ref="B79:F79"/>
    <mergeCell ref="B114:F114"/>
    <mergeCell ref="E68:H68"/>
    <mergeCell ref="B9:B10"/>
    <mergeCell ref="B21:B22"/>
    <mergeCell ref="B4:I4"/>
    <mergeCell ref="B2:H2"/>
    <mergeCell ref="B30:C30"/>
    <mergeCell ref="E30:F30"/>
    <mergeCell ref="H30:I30"/>
    <mergeCell ref="B19:C19"/>
    <mergeCell ref="B25:C25"/>
    <mergeCell ref="B27:C27"/>
    <mergeCell ref="B28:C28"/>
    <mergeCell ref="B6:C6"/>
    <mergeCell ref="B7:C7"/>
  </mergeCells>
  <conditionalFormatting sqref="C93 H75 C63 D59:H59 C76 C88:C89">
    <cfRule type="cellIs" dxfId="0" priority="7" stopIfTrue="1" operator="equal">
      <formula>""</formula>
    </cfRule>
  </conditionalFormatting>
  <hyperlinks>
    <hyperlink ref="B2" r:id="rId1"/>
    <hyperlink ref="E68:H68" r:id="rId2" display="Explicación de Bonos"/>
  </hyperlinks>
  <pageMargins left="0.7" right="0.7" top="0.75" bottom="0.75" header="0.3" footer="0.3"/>
  <pageSetup paperSize="9" orientation="portrait" r:id="rId3"/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B1:N73"/>
  <sheetViews>
    <sheetView showGridLines="0" workbookViewId="0">
      <selection activeCell="F62" sqref="F62"/>
    </sheetView>
  </sheetViews>
  <sheetFormatPr baseColWidth="10" defaultRowHeight="14.25"/>
  <cols>
    <col min="1" max="1" width="6" style="102" customWidth="1"/>
    <col min="2" max="2" width="22.5703125" style="102" customWidth="1"/>
    <col min="3" max="7" width="13.42578125" style="102" customWidth="1"/>
    <col min="8" max="8" width="14.140625" style="102" bestFit="1" customWidth="1"/>
    <col min="9" max="16384" width="11.42578125" style="102"/>
  </cols>
  <sheetData>
    <row r="1" spans="2:11" s="97" customFormat="1" ht="15" thickBot="1">
      <c r="B1" s="96"/>
    </row>
    <row r="2" spans="2:11" s="98" customFormat="1" ht="33.75" thickBot="1">
      <c r="B2" s="213" t="s">
        <v>19</v>
      </c>
      <c r="C2" s="214"/>
      <c r="D2" s="214"/>
      <c r="E2" s="214"/>
      <c r="F2" s="214"/>
      <c r="G2" s="214"/>
      <c r="H2" s="215"/>
    </row>
    <row r="3" spans="2:11" s="101" customFormat="1" ht="21.75" customHeight="1" thickBot="1">
      <c r="B3" s="99"/>
      <c r="C3" s="100"/>
      <c r="D3" s="100"/>
      <c r="E3" s="100"/>
      <c r="F3" s="100"/>
      <c r="G3" s="100"/>
      <c r="H3" s="100"/>
    </row>
    <row r="4" spans="2:11" s="101" customFormat="1" ht="27.75" thickBot="1">
      <c r="B4" s="205" t="s">
        <v>102</v>
      </c>
      <c r="C4" s="206"/>
      <c r="D4" s="206"/>
      <c r="E4" s="206"/>
      <c r="F4" s="206"/>
      <c r="G4" s="206"/>
      <c r="H4" s="207"/>
    </row>
    <row r="5" spans="2:11" s="101" customFormat="1" ht="21.75" customHeight="1">
      <c r="B5" s="99"/>
      <c r="C5" s="100"/>
      <c r="D5" s="100"/>
      <c r="E5" s="100"/>
      <c r="F5" s="100"/>
      <c r="G5" s="100"/>
      <c r="H5" s="100"/>
      <c r="J5" s="98"/>
    </row>
    <row r="6" spans="2:11" ht="15" thickBot="1"/>
    <row r="7" spans="2:11">
      <c r="B7" s="216" t="s">
        <v>87</v>
      </c>
      <c r="C7" s="123" t="s">
        <v>91</v>
      </c>
      <c r="D7" s="104"/>
      <c r="E7" s="104"/>
      <c r="F7" s="104"/>
      <c r="G7" s="103" t="s">
        <v>29</v>
      </c>
      <c r="H7" s="105"/>
      <c r="J7" s="137" t="s">
        <v>109</v>
      </c>
    </row>
    <row r="8" spans="2:11" ht="15" thickBot="1">
      <c r="B8" s="217"/>
      <c r="C8" s="124" t="s">
        <v>90</v>
      </c>
      <c r="D8" s="107"/>
      <c r="E8" s="107"/>
      <c r="F8" s="107"/>
      <c r="G8" s="106" t="s">
        <v>30</v>
      </c>
      <c r="H8" s="108"/>
    </row>
    <row r="9" spans="2:11">
      <c r="B9" s="216" t="s">
        <v>88</v>
      </c>
      <c r="C9" s="123" t="s">
        <v>89</v>
      </c>
      <c r="D9" s="104"/>
      <c r="E9" s="104"/>
      <c r="F9" s="104"/>
      <c r="G9" s="104"/>
      <c r="H9" s="105"/>
      <c r="J9" s="137" t="s">
        <v>108</v>
      </c>
    </row>
    <row r="10" spans="2:11" ht="15" thickBot="1">
      <c r="B10" s="217"/>
      <c r="C10" s="125"/>
      <c r="D10" s="107"/>
      <c r="E10" s="107"/>
      <c r="F10" s="107"/>
      <c r="G10" s="107"/>
      <c r="H10" s="108"/>
    </row>
    <row r="11" spans="2:11" ht="15" thickBot="1"/>
    <row r="12" spans="2:11" ht="35.25" customHeight="1" thickBot="1">
      <c r="B12" s="109" t="s">
        <v>101</v>
      </c>
    </row>
    <row r="13" spans="2:11" ht="14.25" customHeight="1" thickBot="1"/>
    <row r="14" spans="2:11" s="114" customFormat="1" ht="15" thickBot="1">
      <c r="B14" s="209" t="s">
        <v>96</v>
      </c>
      <c r="C14" s="210"/>
      <c r="D14" s="210"/>
      <c r="E14" s="110">
        <v>10000</v>
      </c>
      <c r="F14" s="211" t="s">
        <v>98</v>
      </c>
      <c r="G14" s="212"/>
      <c r="H14" s="111">
        <v>0.03</v>
      </c>
      <c r="I14" s="112" t="s">
        <v>94</v>
      </c>
      <c r="J14" s="113">
        <v>2</v>
      </c>
      <c r="K14" s="112" t="s">
        <v>95</v>
      </c>
    </row>
    <row r="15" spans="2:11" s="137" customFormat="1">
      <c r="B15" s="137" t="s">
        <v>84</v>
      </c>
      <c r="C15" s="115">
        <f>E14</f>
        <v>10000</v>
      </c>
    </row>
    <row r="16" spans="2:11" s="137" customFormat="1">
      <c r="B16" s="137" t="s">
        <v>85</v>
      </c>
      <c r="C16" s="115">
        <f>C15*(1-(C19*C18))</f>
        <v>9400</v>
      </c>
      <c r="D16" s="115"/>
    </row>
    <row r="17" spans="2:11" s="137" customFormat="1">
      <c r="B17" s="137" t="s">
        <v>93</v>
      </c>
      <c r="C17" s="115">
        <f>C15*C18*C19</f>
        <v>600</v>
      </c>
    </row>
    <row r="18" spans="2:11" s="137" customFormat="1">
      <c r="B18" s="137" t="s">
        <v>92</v>
      </c>
      <c r="C18" s="116">
        <f>H14</f>
        <v>0.03</v>
      </c>
    </row>
    <row r="19" spans="2:11" s="137" customFormat="1" ht="15" thickBot="1">
      <c r="B19" s="137" t="s">
        <v>86</v>
      </c>
      <c r="C19" s="137">
        <f>J14</f>
        <v>2</v>
      </c>
    </row>
    <row r="20" spans="2:11" s="114" customFormat="1" ht="15" thickBot="1">
      <c r="B20" s="209" t="s">
        <v>96</v>
      </c>
      <c r="C20" s="210"/>
      <c r="D20" s="210"/>
      <c r="E20" s="110">
        <v>10000</v>
      </c>
      <c r="F20" s="211" t="s">
        <v>98</v>
      </c>
      <c r="G20" s="212"/>
      <c r="H20" s="111">
        <v>0.03</v>
      </c>
      <c r="I20" s="112" t="s">
        <v>94</v>
      </c>
      <c r="J20" s="113">
        <v>2</v>
      </c>
      <c r="K20" s="112" t="s">
        <v>95</v>
      </c>
    </row>
    <row r="21" spans="2:11">
      <c r="B21" s="102" t="s">
        <v>84</v>
      </c>
      <c r="C21" s="115">
        <f>E20</f>
        <v>10000</v>
      </c>
    </row>
    <row r="22" spans="2:11">
      <c r="B22" s="102" t="s">
        <v>85</v>
      </c>
      <c r="C22" s="115">
        <f>C21*(1-(C25*C24))</f>
        <v>9400</v>
      </c>
      <c r="D22" s="115"/>
    </row>
    <row r="23" spans="2:11">
      <c r="B23" s="102" t="s">
        <v>93</v>
      </c>
      <c r="C23" s="115">
        <f>C21*C24*C25</f>
        <v>600</v>
      </c>
    </row>
    <row r="24" spans="2:11">
      <c r="B24" s="102" t="s">
        <v>92</v>
      </c>
      <c r="C24" s="116">
        <f>H20</f>
        <v>0.03</v>
      </c>
    </row>
    <row r="25" spans="2:11">
      <c r="B25" s="102" t="s">
        <v>86</v>
      </c>
      <c r="C25" s="102">
        <f>J20</f>
        <v>2</v>
      </c>
    </row>
    <row r="26" spans="2:11" ht="15" thickBot="1"/>
    <row r="27" spans="2:11" ht="15" thickBot="1">
      <c r="B27" s="209" t="s">
        <v>96</v>
      </c>
      <c r="C27" s="210"/>
      <c r="D27" s="210"/>
      <c r="E27" s="117">
        <v>7000</v>
      </c>
      <c r="F27" s="218" t="s">
        <v>107</v>
      </c>
      <c r="G27" s="219"/>
      <c r="H27" s="111">
        <v>0.18</v>
      </c>
      <c r="I27" s="112" t="s">
        <v>94</v>
      </c>
      <c r="J27" s="113">
        <v>40</v>
      </c>
      <c r="K27" s="112" t="s">
        <v>97</v>
      </c>
    </row>
    <row r="28" spans="2:11">
      <c r="B28" s="102" t="s">
        <v>84</v>
      </c>
      <c r="C28" s="115">
        <f>E27</f>
        <v>7000</v>
      </c>
    </row>
    <row r="29" spans="2:11">
      <c r="B29" s="102" t="s">
        <v>85</v>
      </c>
      <c r="C29" s="115">
        <f>C28*(1-(C32*C31))</f>
        <v>6861.9178082191784</v>
      </c>
      <c r="D29" s="115"/>
    </row>
    <row r="30" spans="2:11">
      <c r="B30" s="102" t="s">
        <v>93</v>
      </c>
      <c r="C30" s="115">
        <f>C28*C31*C32</f>
        <v>138.08219178082192</v>
      </c>
    </row>
    <row r="31" spans="2:11">
      <c r="B31" s="102" t="s">
        <v>92</v>
      </c>
      <c r="C31" s="116">
        <v>0.18</v>
      </c>
    </row>
    <row r="32" spans="2:11">
      <c r="B32" s="102" t="s">
        <v>86</v>
      </c>
      <c r="C32" s="102">
        <f>J27/365</f>
        <v>0.1095890410958904</v>
      </c>
    </row>
    <row r="33" spans="2:14" ht="15" thickBot="1"/>
    <row r="34" spans="2:14" ht="15" thickBot="1">
      <c r="B34" s="209" t="s">
        <v>96</v>
      </c>
      <c r="C34" s="210"/>
      <c r="D34" s="210"/>
      <c r="E34" s="117">
        <v>6000</v>
      </c>
      <c r="F34" s="211" t="s">
        <v>100</v>
      </c>
      <c r="G34" s="212"/>
      <c r="H34" s="118">
        <v>150</v>
      </c>
      <c r="I34" s="112" t="s">
        <v>94</v>
      </c>
      <c r="J34" s="113">
        <v>45</v>
      </c>
      <c r="K34" s="112" t="s">
        <v>97</v>
      </c>
    </row>
    <row r="35" spans="2:14">
      <c r="B35" s="102" t="s">
        <v>84</v>
      </c>
      <c r="C35" s="115">
        <f>E34</f>
        <v>6000</v>
      </c>
    </row>
    <row r="36" spans="2:14">
      <c r="B36" s="102" t="s">
        <v>85</v>
      </c>
      <c r="C36" s="115">
        <f>C35-C37</f>
        <v>5850</v>
      </c>
    </row>
    <row r="37" spans="2:14">
      <c r="B37" s="102" t="s">
        <v>93</v>
      </c>
      <c r="C37" s="115">
        <f>H34</f>
        <v>150</v>
      </c>
    </row>
    <row r="38" spans="2:14">
      <c r="B38" s="102" t="s">
        <v>92</v>
      </c>
      <c r="C38" s="116">
        <f>((C36/C35)-1)/-C39</f>
        <v>0.20277777777777797</v>
      </c>
    </row>
    <row r="39" spans="2:14">
      <c r="B39" s="102" t="s">
        <v>86</v>
      </c>
      <c r="C39" s="102">
        <f>J34/365</f>
        <v>0.12328767123287671</v>
      </c>
    </row>
    <row r="40" spans="2:14" ht="15" thickBot="1"/>
    <row r="41" spans="2:14" ht="15.75" thickBot="1">
      <c r="B41" s="209" t="s">
        <v>106</v>
      </c>
      <c r="C41" s="210"/>
      <c r="D41" s="210"/>
      <c r="E41" s="117">
        <v>10000</v>
      </c>
      <c r="F41" s="211" t="s">
        <v>99</v>
      </c>
      <c r="G41" s="212"/>
      <c r="H41" s="136">
        <f>N49</f>
        <v>0.38000803684511469</v>
      </c>
      <c r="I41" s="112" t="s">
        <v>94</v>
      </c>
      <c r="J41" s="113">
        <v>35</v>
      </c>
      <c r="K41" s="112" t="s">
        <v>97</v>
      </c>
      <c r="L41" s="208" t="s">
        <v>20</v>
      </c>
      <c r="M41" s="208"/>
      <c r="N41" s="24">
        <v>42466</v>
      </c>
    </row>
    <row r="42" spans="2:14" ht="15">
      <c r="B42" s="102" t="s">
        <v>84</v>
      </c>
      <c r="C42" s="115">
        <f>E41</f>
        <v>10000</v>
      </c>
      <c r="L42" s="208" t="s">
        <v>21</v>
      </c>
      <c r="M42" s="208"/>
      <c r="N42" s="24">
        <v>42501</v>
      </c>
    </row>
    <row r="43" spans="2:14" ht="15">
      <c r="B43" s="102" t="s">
        <v>85</v>
      </c>
      <c r="C43" s="115">
        <f>C42*(1-C48)</f>
        <v>9648.42</v>
      </c>
      <c r="D43" s="115"/>
      <c r="L43" s="208" t="s">
        <v>22</v>
      </c>
      <c r="M43" s="208"/>
      <c r="N43" s="25">
        <f>N42-N41</f>
        <v>35</v>
      </c>
    </row>
    <row r="44" spans="2:14" ht="15">
      <c r="B44" s="102" t="s">
        <v>93</v>
      </c>
      <c r="C44" s="115">
        <f>C42*C48</f>
        <v>351.57999999999987</v>
      </c>
      <c r="E44" s="220" t="s">
        <v>122</v>
      </c>
      <c r="F44" s="220"/>
      <c r="G44" s="220"/>
      <c r="H44" s="220"/>
      <c r="L44" s="208" t="s">
        <v>23</v>
      </c>
      <c r="M44" s="208"/>
      <c r="N44" s="26">
        <v>96.484200000000001</v>
      </c>
    </row>
    <row r="45" spans="2:14" ht="15">
      <c r="B45" s="102" t="s">
        <v>38</v>
      </c>
      <c r="C45" s="116">
        <f>H41</f>
        <v>0.38000803684511469</v>
      </c>
      <c r="E45" s="220"/>
      <c r="F45" s="220"/>
      <c r="G45" s="220"/>
      <c r="H45" s="220"/>
      <c r="L45" s="208" t="s">
        <v>24</v>
      </c>
      <c r="M45" s="208"/>
      <c r="N45" s="25">
        <v>100</v>
      </c>
    </row>
    <row r="46" spans="2:14" ht="15.75" thickBot="1">
      <c r="B46" s="102" t="s">
        <v>86</v>
      </c>
      <c r="C46" s="102">
        <f>J41/365</f>
        <v>9.5890410958904104E-2</v>
      </c>
      <c r="L46" s="208" t="s">
        <v>25</v>
      </c>
      <c r="M46" s="208"/>
      <c r="N46" s="25">
        <v>3</v>
      </c>
    </row>
    <row r="47" spans="2:14" ht="15.75" thickBot="1">
      <c r="B47" s="102" t="s">
        <v>44</v>
      </c>
      <c r="C47" s="116">
        <f>C45/365*35</f>
        <v>3.6439126820764424E-2</v>
      </c>
      <c r="K47" s="202" t="s">
        <v>26</v>
      </c>
      <c r="L47" s="203"/>
      <c r="M47" s="204"/>
      <c r="N47" s="28">
        <f>DISC(N41,N42,N44,N45,N46)</f>
        <v>0.36664771428571452</v>
      </c>
    </row>
    <row r="48" spans="2:14" ht="15.75" thickBot="1">
      <c r="B48" s="102" t="s">
        <v>92</v>
      </c>
      <c r="C48" s="127">
        <f>C47/(1+C47)</f>
        <v>3.5157999999999988E-2</v>
      </c>
      <c r="K48" s="202" t="s">
        <v>68</v>
      </c>
      <c r="L48" s="203"/>
      <c r="M48" s="204"/>
      <c r="N48" s="28">
        <f>N47/365*35</f>
        <v>3.5158000000000023E-2</v>
      </c>
    </row>
    <row r="49" spans="2:14" ht="15.75" thickBot="1">
      <c r="K49" s="202" t="s">
        <v>28</v>
      </c>
      <c r="L49" s="203"/>
      <c r="M49" s="204"/>
      <c r="N49" s="28">
        <f>INTRATE(N41,N42,N44,N45,N46)</f>
        <v>0.38000803684511469</v>
      </c>
    </row>
    <row r="50" spans="2:14" ht="15" thickBot="1"/>
    <row r="51" spans="2:14" s="101" customFormat="1" ht="27.75" thickBot="1">
      <c r="B51" s="205" t="s">
        <v>103</v>
      </c>
      <c r="C51" s="206"/>
      <c r="D51" s="206"/>
      <c r="E51" s="206"/>
      <c r="F51" s="206"/>
      <c r="G51" s="206"/>
      <c r="H51" s="207"/>
    </row>
    <row r="52" spans="2:14" s="101" customFormat="1" ht="21.75" customHeight="1">
      <c r="B52" s="99"/>
      <c r="C52" s="100"/>
      <c r="D52" s="100"/>
      <c r="E52" s="100"/>
      <c r="F52" s="100"/>
      <c r="G52" s="100"/>
      <c r="H52" s="100"/>
    </row>
    <row r="53" spans="2:14" s="101" customFormat="1" ht="21.75" customHeight="1">
      <c r="B53" s="120" t="s">
        <v>104</v>
      </c>
      <c r="C53" s="121"/>
      <c r="D53" s="121"/>
      <c r="E53" s="121"/>
      <c r="F53" s="121"/>
      <c r="G53" s="121"/>
      <c r="H53" s="121"/>
      <c r="I53" s="119"/>
      <c r="L53" s="119"/>
    </row>
    <row r="54" spans="2:14" ht="15" thickBot="1">
      <c r="B54" s="122"/>
      <c r="C54" s="122"/>
      <c r="D54" s="122"/>
      <c r="E54" s="122"/>
      <c r="F54" s="122"/>
      <c r="G54" s="122"/>
      <c r="H54" s="122"/>
      <c r="I54" s="122"/>
      <c r="L54" s="122"/>
    </row>
    <row r="55" spans="2:14" ht="35.25" customHeight="1" thickBot="1">
      <c r="B55" s="109" t="s">
        <v>101</v>
      </c>
    </row>
    <row r="56" spans="2:14" ht="15" thickBot="1"/>
    <row r="57" spans="2:14" ht="15" thickBot="1">
      <c r="B57" s="209" t="s">
        <v>96</v>
      </c>
      <c r="C57" s="210"/>
      <c r="D57" s="210"/>
      <c r="E57" s="110">
        <v>10000</v>
      </c>
      <c r="F57" s="211" t="s">
        <v>98</v>
      </c>
      <c r="G57" s="212"/>
      <c r="H57" s="111">
        <v>0.05</v>
      </c>
      <c r="I57" s="112" t="s">
        <v>94</v>
      </c>
      <c r="J57" s="113">
        <v>2</v>
      </c>
      <c r="K57" s="112" t="s">
        <v>105</v>
      </c>
    </row>
    <row r="58" spans="2:14" s="132" customFormat="1">
      <c r="B58" s="128"/>
      <c r="C58" s="129"/>
      <c r="D58" s="129"/>
      <c r="E58" s="130"/>
      <c r="F58" s="131"/>
      <c r="H58" s="133"/>
      <c r="I58" s="134"/>
      <c r="J58" s="135"/>
      <c r="K58" s="134"/>
    </row>
    <row r="59" spans="2:14">
      <c r="B59" s="102" t="s">
        <v>84</v>
      </c>
      <c r="C59" s="115">
        <f>E57</f>
        <v>10000</v>
      </c>
      <c r="G59" s="115"/>
    </row>
    <row r="60" spans="2:14">
      <c r="B60" s="102" t="s">
        <v>85</v>
      </c>
      <c r="C60" s="115">
        <f>C59*(((1+C62)^(-C63)))</f>
        <v>9070.2947845804974</v>
      </c>
      <c r="D60" s="115">
        <f>C59-C61</f>
        <v>9070.2947845804974</v>
      </c>
      <c r="G60" s="115"/>
    </row>
    <row r="61" spans="2:14">
      <c r="B61" s="102" t="s">
        <v>93</v>
      </c>
      <c r="C61" s="126">
        <f>C59-C60</f>
        <v>929.70521541950257</v>
      </c>
      <c r="G61" s="126"/>
    </row>
    <row r="62" spans="2:14">
      <c r="B62" s="102" t="s">
        <v>44</v>
      </c>
      <c r="C62" s="116">
        <f>H57</f>
        <v>0.05</v>
      </c>
      <c r="G62" s="127"/>
    </row>
    <row r="63" spans="2:14">
      <c r="B63" s="102" t="s">
        <v>86</v>
      </c>
      <c r="C63" s="102">
        <f>J57</f>
        <v>2</v>
      </c>
    </row>
    <row r="64" spans="2:14">
      <c r="B64" s="102" t="s">
        <v>92</v>
      </c>
      <c r="C64" s="127">
        <f>C62/(1+C62)</f>
        <v>4.7619047619047616E-2</v>
      </c>
    </row>
    <row r="65" spans="2:11" ht="15" thickBot="1"/>
    <row r="66" spans="2:11" ht="15" thickBot="1">
      <c r="B66" s="209" t="s">
        <v>96</v>
      </c>
      <c r="C66" s="210"/>
      <c r="D66" s="210"/>
      <c r="E66" s="110">
        <v>10000</v>
      </c>
      <c r="F66" s="218" t="s">
        <v>107</v>
      </c>
      <c r="G66" s="219"/>
      <c r="H66" s="111">
        <v>0.08</v>
      </c>
      <c r="I66" s="112" t="s">
        <v>94</v>
      </c>
      <c r="J66" s="113">
        <v>6</v>
      </c>
      <c r="K66" s="112" t="s">
        <v>105</v>
      </c>
    </row>
    <row r="67" spans="2:11">
      <c r="B67" s="128"/>
      <c r="C67" s="129"/>
      <c r="D67" s="129"/>
      <c r="E67" s="130"/>
      <c r="F67" s="131"/>
      <c r="G67" s="132"/>
      <c r="H67" s="133"/>
      <c r="I67" s="134"/>
      <c r="J67" s="135"/>
      <c r="K67" s="134"/>
    </row>
    <row r="68" spans="2:11">
      <c r="B68" s="102" t="s">
        <v>84</v>
      </c>
      <c r="C68" s="115">
        <f>E66</f>
        <v>10000</v>
      </c>
      <c r="G68" s="115"/>
    </row>
    <row r="69" spans="2:11">
      <c r="B69" s="102" t="s">
        <v>85</v>
      </c>
      <c r="C69" s="115">
        <f>C68*(((1+C71)^(-C72)))</f>
        <v>6301.696268831045</v>
      </c>
      <c r="D69" s="115">
        <f>C68-C70</f>
        <v>6301.696268831045</v>
      </c>
      <c r="G69" s="115"/>
    </row>
    <row r="70" spans="2:11">
      <c r="B70" s="102" t="s">
        <v>93</v>
      </c>
      <c r="C70" s="126">
        <f>C68-C69</f>
        <v>3698.303731168955</v>
      </c>
      <c r="G70" s="126"/>
    </row>
    <row r="71" spans="2:11">
      <c r="B71" s="102" t="s">
        <v>44</v>
      </c>
      <c r="C71" s="116">
        <f>H66</f>
        <v>0.08</v>
      </c>
      <c r="G71" s="127"/>
    </row>
    <row r="72" spans="2:11">
      <c r="B72" s="102" t="s">
        <v>86</v>
      </c>
      <c r="C72" s="102">
        <f>J66</f>
        <v>6</v>
      </c>
    </row>
    <row r="73" spans="2:11">
      <c r="B73" s="102" t="s">
        <v>92</v>
      </c>
      <c r="C73" s="127">
        <f>C71/(1+C71)</f>
        <v>7.407407407407407E-2</v>
      </c>
    </row>
  </sheetData>
  <mergeCells count="29">
    <mergeCell ref="B66:D66"/>
    <mergeCell ref="F66:G66"/>
    <mergeCell ref="B57:D57"/>
    <mergeCell ref="F57:G57"/>
    <mergeCell ref="B41:D41"/>
    <mergeCell ref="F41:G41"/>
    <mergeCell ref="E44:H45"/>
    <mergeCell ref="B2:H2"/>
    <mergeCell ref="B7:B8"/>
    <mergeCell ref="B9:B10"/>
    <mergeCell ref="B20:D20"/>
    <mergeCell ref="B27:D27"/>
    <mergeCell ref="F20:G20"/>
    <mergeCell ref="F27:G27"/>
    <mergeCell ref="B14:D14"/>
    <mergeCell ref="F14:G14"/>
    <mergeCell ref="K49:M49"/>
    <mergeCell ref="B4:H4"/>
    <mergeCell ref="B51:H51"/>
    <mergeCell ref="L46:M46"/>
    <mergeCell ref="K47:M47"/>
    <mergeCell ref="K48:M48"/>
    <mergeCell ref="L41:M41"/>
    <mergeCell ref="L42:M42"/>
    <mergeCell ref="L43:M43"/>
    <mergeCell ref="L44:M44"/>
    <mergeCell ref="L45:M45"/>
    <mergeCell ref="B34:D34"/>
    <mergeCell ref="F34:G34"/>
  </mergeCells>
  <hyperlinks>
    <hyperlink ref="B2" r:id="rId1"/>
    <hyperlink ref="E44:H45" r:id="rId2" display="Lo podemos corroborar en el calculador de LEBAC"/>
  </hyperlinks>
  <pageMargins left="0.7" right="0.7" top="0.75" bottom="0.75" header="0.3" footer="0.3"/>
  <pageSetup orientation="portrait"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Equivalencias de Tasas</vt:lpstr>
      <vt:lpstr>Descuento Comercial y Racional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Equivalencias de tasas</dc:title>
  <dc:creator>SinElefantesBlancos.com.ar</dc:creator>
  <cp:keywords>tasa; deuda; tna; tea; cft</cp:keywords>
  <cp:lastModifiedBy>Guillermo Gonzalez</cp:lastModifiedBy>
  <dcterms:created xsi:type="dcterms:W3CDTF">2012-04-01T17:09:43Z</dcterms:created>
  <dcterms:modified xsi:type="dcterms:W3CDTF">2019-05-01T22:46:19Z</dcterms:modified>
</cp:coreProperties>
</file>